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alibremining-my.sharepoint.com/personal/jreid_calibremining_com/Documents/Desktop/"/>
    </mc:Choice>
  </mc:AlternateContent>
  <xr:revisionPtr revIDLastSave="0" documentId="8_{7C9DE257-EB27-4DEE-813F-451B453ED589}" xr6:coauthVersionLast="47" xr6:coauthVersionMax="47" xr10:uidLastSave="{00000000-0000-0000-0000-000000000000}"/>
  <bookViews>
    <workbookView xWindow="-110" yWindow="-110" windowWidth="38620" windowHeight="21220" tabRatio="1000" xr2:uid="{6B88EE70-58C3-4B40-9385-A8F88F3FE25A}"/>
  </bookViews>
  <sheets>
    <sheet name="Guidance Note" sheetId="5" r:id="rId1"/>
    <sheet name="00. GRI &amp; SASB Context Index" sheetId="16" r:id="rId2"/>
    <sheet name="E01. Env. &amp; Biodiversity Mgmt." sheetId="1" r:id="rId3"/>
    <sheet name="E02. Water &amp; Effluents" sheetId="2" r:id="rId4"/>
    <sheet name="E03. Waste &amp; Materials" sheetId="3" r:id="rId5"/>
    <sheet name="E04. Climate Action" sheetId="4" r:id="rId6"/>
    <sheet name="S01. Labor Rights" sheetId="10" r:id="rId7"/>
    <sheet name="S02. Health &amp; Safety" sheetId="11" r:id="rId8"/>
    <sheet name="S03. Communities &amp; IPs" sheetId="12" r:id="rId9"/>
    <sheet name="S04. Land &amp; Resource Rights" sheetId="13" r:id="rId10"/>
    <sheet name="S05. SocioEcon. Contributions" sheetId="14" r:id="rId11"/>
    <sheet name="G01. Corp. Gov &amp; Buss. Ethics" sheetId="6" r:id="rId12"/>
    <sheet name="G04. Security Practices" sheetId="9" r:id="rId13"/>
    <sheet name="01. Sustainability Dashboard" sheetId="17" r:id="rId14"/>
  </sheets>
  <definedNames>
    <definedName name="_xlnm._FilterDatabase" localSheetId="1" hidden="1">'00. GRI &amp; SASB Context Index'!$A$1:$A$3</definedName>
    <definedName name="About_the_data">'Guidance Note'!$B$9</definedName>
    <definedName name="About_this_Document">'Guidance Note'!$B$3</definedName>
    <definedName name="Biodiversity_Overview">'E01. Env. &amp; Biodiversity Mgmt.'!$A$8</definedName>
    <definedName name="Change_in_Water_Use_Efficiency_over_Time__SDG_6.4.1">'E02. Water &amp; Effluents'!$A$55</definedName>
    <definedName name="Closure_and_Rehabilitation">'E01. Env. &amp; Biodiversity Mgmt.'!$A$37</definedName>
    <definedName name="Community_Grievances__GRI_14.10.4">'S03. Communities &amp; IPs'!$A$25</definedName>
    <definedName name="Compliance">'G01. Corp. Gov &amp; Buss. Ethics'!$A$17</definedName>
    <definedName name="Direct_Economic_Value_">'S05. SocioEcon. Contributions'!$A$12</definedName>
    <definedName name="Diversity_of_Employees__GRI_405_1__14.21.5">'S01. Labor Rights'!$A$35</definedName>
    <definedName name="Diversity_of_Governance">'G01. Corp. Gov &amp; Buss. Ethics'!$A$7</definedName>
    <definedName name="Employees__GRI_2_7">'S01. Labor Rights'!$A$18</definedName>
    <definedName name="Energy_Consumption">'E04. Climate Action'!$A$11</definedName>
    <definedName name="Energy_Intensity">'E04. Climate Action'!$A$28</definedName>
    <definedName name="Infrastructure_Investments">'S05. SocioEcon. Contributions'!$A$24</definedName>
    <definedName name="List_of_Material_Topics">'Guidance Note'!$B$24</definedName>
    <definedName name="new_hires_turnover">'S01. Labor Rights'!$A$52</definedName>
    <definedName name="Non_Mineral_Waste_Directed">'E03. Waste &amp; Materials'!$A$47</definedName>
    <definedName name="Non_Mineral_Waste_Diverted">'E03. Waste &amp; Materials'!$A$24</definedName>
    <definedName name="Operations_with_local_community_engagement">'S03. Communities &amp; IPs'!$A$8</definedName>
    <definedName name="Parental_leave">'S01. Labor Rights'!$A$78</definedName>
    <definedName name="Proportion_of_bodies_of_water_with_good_ambient_water_quality__SDG_6.3.2">'S04. Land &amp; Resource Rights'!$A$16</definedName>
    <definedName name="Proportion_of_Spending_on_Local_Suppliers__GRI_204_1__14.9.5">'S05. SocioEcon. Contributions'!$A$46</definedName>
    <definedName name="Ratio_of_Basic_Salary">'S01. Labor Rights'!$A$44</definedName>
    <definedName name="References_">'Guidance Note'!$B$12</definedName>
    <definedName name="Resettlement">'S04. Land &amp; Resource Rights'!$A$7</definedName>
    <definedName name="Scope_1_GHG_Emissions">'E04. Climate Action'!$A$33</definedName>
    <definedName name="Scope_2_GHG_Emissions">'E04. Climate Action'!$A$37</definedName>
    <definedName name="Security_Personnel_Trained_in_Human_Rights_Policies_or_Procedures__GRI_410_01__14.14.2">'G04. Security Practices'!$A$3</definedName>
    <definedName name="Senior_Management_Hired">'S05. SocioEcon. Contributions'!$A$64</definedName>
    <definedName name="Significant_Actual_and_Potential_">'S03. Communities &amp; IPs'!$A$20</definedName>
    <definedName name="Significant_Air_Emissions">'E04. Climate Action'!$A$47</definedName>
    <definedName name="Significant_Indirect_Economic_Impacts__GRI_203_2">'S05. SocioEcon. Contributions'!$A$36</definedName>
    <definedName name="Structure_of_the_databook">'Guidance Note'!$B$6</definedName>
    <definedName name="Tab_Menu">'Guidance Note'!$B$47</definedName>
    <definedName name="Tailings_Facilities_Inventory">'E03. Waste &amp; Materials'!$A$76</definedName>
    <definedName name="Total_GHG_Emissions___Intensity_Rate">'E04. Climate Action'!$A$42</definedName>
    <definedName name="Total_number_of_employees">'S01. Labor Rights'!$A$12</definedName>
    <definedName name="Waste_Generated">'E03. Waste &amp; Materials'!$A$9</definedName>
    <definedName name="Water_Consumption">'E02. Water &amp; Effluents'!$A$47</definedName>
    <definedName name="Water_Discharge">'E02. Water &amp; Effluents'!$A$33</definedName>
    <definedName name="Water_Withdrawal">'E02. Water &amp; Effluents'!$A$10</definedName>
    <definedName name="Work_related_ill_health">'S02. Health &amp; Safety'!$A$30</definedName>
    <definedName name="Work_related_injuries">'S02. Health &amp; Safety'!$A$7</definedName>
    <definedName name="Workers_Hired_from_the_Loca">'S05. SocioEcon. Contributions'!$A$52</definedName>
    <definedName name="Workers_who_are_not_employees">'S01. Labor Rights'!$A$27</definedName>
    <definedName name="YesNo" localSheetId="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4" l="1"/>
  <c r="I13" i="14"/>
  <c r="I15" i="14"/>
  <c r="I16" i="14"/>
  <c r="I17" i="14"/>
  <c r="I18" i="14"/>
  <c r="I19" i="14"/>
  <c r="I20" i="14"/>
  <c r="D21" i="14"/>
  <c r="I21" i="14" s="1"/>
  <c r="H14" i="14"/>
  <c r="H21" i="14" s="1"/>
  <c r="G14" i="14"/>
  <c r="G21" i="14" s="1"/>
  <c r="F14" i="14"/>
  <c r="F21" i="14" s="1"/>
  <c r="E14" i="14"/>
  <c r="E21" i="14" s="1"/>
  <c r="I14" i="14" l="1"/>
  <c r="E43" i="1"/>
  <c r="D43" i="1"/>
  <c r="G44" i="2"/>
  <c r="E60" i="4" l="1"/>
  <c r="E57" i="4"/>
  <c r="E56" i="4"/>
  <c r="E54" i="4"/>
  <c r="E51" i="4"/>
  <c r="E49" i="4"/>
  <c r="E48" i="4"/>
  <c r="E60" i="2" l="1"/>
  <c r="F60" i="2"/>
  <c r="G60" i="2"/>
  <c r="H60" i="2"/>
  <c r="E59" i="2"/>
  <c r="F59" i="2"/>
  <c r="G59" i="2"/>
  <c r="H59" i="2"/>
  <c r="D13" i="10" l="1"/>
  <c r="E15" i="10" s="1"/>
  <c r="E13" i="10" l="1"/>
  <c r="E14" i="10"/>
  <c r="E11" i="6"/>
  <c r="D11" i="6"/>
  <c r="E8" i="6"/>
  <c r="D8" i="6"/>
  <c r="E43" i="4" l="1" a="1"/>
  <c r="E43" i="4" s="1"/>
  <c r="F43" i="4" a="1"/>
  <c r="F43" i="4" s="1"/>
  <c r="D43" i="4" a="1"/>
  <c r="D43" i="4" s="1"/>
  <c r="G38" i="4"/>
  <c r="G39" i="4"/>
  <c r="G44" i="4" l="1"/>
  <c r="G37" i="11" l="1"/>
  <c r="G38" i="11"/>
  <c r="E23" i="11" l="1"/>
  <c r="F23" i="11"/>
  <c r="D23" i="11"/>
  <c r="E21" i="11"/>
  <c r="F21" i="11"/>
  <c r="D21" i="11"/>
  <c r="E19" i="11"/>
  <c r="F19" i="11"/>
  <c r="D19" i="11"/>
  <c r="E14" i="11"/>
  <c r="F14" i="11"/>
  <c r="D14" i="11"/>
  <c r="D12" i="11"/>
  <c r="E10" i="11"/>
  <c r="F10" i="11"/>
  <c r="D10" i="11"/>
  <c r="G16" i="11"/>
  <c r="G18" i="11"/>
  <c r="G20" i="11"/>
  <c r="G22" i="11"/>
  <c r="D19" i="13" l="1"/>
  <c r="D18" i="13"/>
  <c r="D9" i="13"/>
  <c r="D69" i="3"/>
  <c r="D9" i="12" l="1"/>
  <c r="D14" i="12"/>
  <c r="D11" i="12"/>
  <c r="D12" i="12"/>
  <c r="D10" i="12"/>
  <c r="D16" i="12"/>
  <c r="D17" i="12"/>
  <c r="D6" i="9"/>
  <c r="E4" i="9"/>
  <c r="E5" i="9"/>
  <c r="E6" i="9" s="1"/>
  <c r="E84" i="10"/>
  <c r="D84" i="10"/>
  <c r="E83" i="10"/>
  <c r="D83" i="10"/>
  <c r="F82" i="10"/>
  <c r="F81" i="10"/>
  <c r="F80" i="10"/>
  <c r="F79" i="10"/>
  <c r="F84" i="10" l="1"/>
  <c r="F83" i="10"/>
  <c r="E53" i="10" l="1"/>
  <c r="E55" i="10"/>
  <c r="E56" i="10"/>
  <c r="E57" i="10"/>
  <c r="E59" i="10"/>
  <c r="E60" i="10"/>
  <c r="E62" i="10"/>
  <c r="E63" i="10"/>
  <c r="E64" i="10"/>
  <c r="E74" i="10" l="1"/>
  <c r="E71" i="10"/>
  <c r="E72" i="10"/>
  <c r="E75" i="10"/>
  <c r="F23" i="4" l="1"/>
  <c r="E45" i="4" l="1"/>
  <c r="F45" i="4"/>
  <c r="E23" i="4"/>
  <c r="D23" i="4"/>
  <c r="E18" i="4"/>
  <c r="F18" i="4"/>
  <c r="D18" i="4"/>
  <c r="E14" i="4"/>
  <c r="F14" i="4"/>
  <c r="D14" i="4"/>
  <c r="G25" i="4"/>
  <c r="G24" i="4"/>
  <c r="G22" i="4"/>
  <c r="G21" i="4"/>
  <c r="G20" i="4"/>
  <c r="G19" i="4"/>
  <c r="G17" i="4"/>
  <c r="G16" i="4"/>
  <c r="G15" i="4"/>
  <c r="G52" i="3"/>
  <c r="G51" i="3"/>
  <c r="F50" i="3"/>
  <c r="E50" i="3"/>
  <c r="D50" i="3"/>
  <c r="G65" i="3"/>
  <c r="G64" i="3"/>
  <c r="F63" i="3"/>
  <c r="E63" i="3"/>
  <c r="D63" i="3"/>
  <c r="G55" i="3"/>
  <c r="G54" i="3"/>
  <c r="F53" i="3"/>
  <c r="E53" i="3"/>
  <c r="D53" i="3"/>
  <c r="G68" i="3"/>
  <c r="G67" i="3"/>
  <c r="F66" i="3"/>
  <c r="E66" i="3"/>
  <c r="D66" i="3"/>
  <c r="G18" i="4" l="1"/>
  <c r="F13" i="4"/>
  <c r="G23" i="4"/>
  <c r="D13" i="4"/>
  <c r="G14" i="4"/>
  <c r="E13" i="4"/>
  <c r="E12" i="4" s="1"/>
  <c r="G63" i="3"/>
  <c r="G50" i="3"/>
  <c r="G53" i="3"/>
  <c r="G66" i="3"/>
  <c r="D12" i="4" l="1"/>
  <c r="D29" i="4" s="1"/>
  <c r="D31" i="4" s="1"/>
  <c r="D45" i="4"/>
  <c r="E29" i="4"/>
  <c r="E31" i="4" s="1"/>
  <c r="G13" i="4"/>
  <c r="E22" i="3" l="1"/>
  <c r="E20" i="3" s="1"/>
  <c r="E12" i="3" s="1"/>
  <c r="F20" i="3"/>
  <c r="F12" i="3" s="1"/>
  <c r="D20" i="3"/>
  <c r="D12" i="3" s="1"/>
  <c r="F15" i="3"/>
  <c r="F11" i="3" s="1"/>
  <c r="G21" i="3"/>
  <c r="G58" i="3"/>
  <c r="G60" i="3"/>
  <c r="G61" i="3"/>
  <c r="G70" i="3"/>
  <c r="G71" i="3"/>
  <c r="G73" i="3"/>
  <c r="G74" i="3"/>
  <c r="G57" i="3"/>
  <c r="F72" i="3"/>
  <c r="E72" i="3"/>
  <c r="D72" i="3"/>
  <c r="F69" i="3"/>
  <c r="E69" i="3"/>
  <c r="F59" i="3"/>
  <c r="E59" i="3"/>
  <c r="D59" i="3"/>
  <c r="F56" i="3"/>
  <c r="E56" i="3"/>
  <c r="D56" i="3"/>
  <c r="E43" i="3"/>
  <c r="F43" i="3"/>
  <c r="E40" i="3"/>
  <c r="F40" i="3"/>
  <c r="E37" i="3"/>
  <c r="F37" i="3"/>
  <c r="G28" i="3"/>
  <c r="E33" i="3"/>
  <c r="F33" i="3"/>
  <c r="E30" i="3"/>
  <c r="F30" i="3"/>
  <c r="D30" i="3"/>
  <c r="D43" i="3"/>
  <c r="D40" i="3" s="1"/>
  <c r="D37" i="3" s="1"/>
  <c r="D33" i="3" s="1"/>
  <c r="D27" i="3" s="1"/>
  <c r="E27" i="3"/>
  <c r="F27" i="3"/>
  <c r="F10" i="3" l="1"/>
  <c r="F49" i="3"/>
  <c r="E49" i="3"/>
  <c r="D49" i="3"/>
  <c r="F62" i="3"/>
  <c r="E62" i="3"/>
  <c r="D62" i="3"/>
  <c r="G22" i="3"/>
  <c r="G20" i="3" s="1"/>
  <c r="G12" i="3" s="1"/>
  <c r="G59" i="3"/>
  <c r="G69" i="3"/>
  <c r="G72" i="3"/>
  <c r="G56" i="3"/>
  <c r="F36" i="3"/>
  <c r="E26" i="3"/>
  <c r="E36" i="3"/>
  <c r="F26" i="3"/>
  <c r="D36" i="3"/>
  <c r="D26" i="3"/>
  <c r="G45" i="3"/>
  <c r="G35" i="2"/>
  <c r="G36" i="2"/>
  <c r="E12" i="2"/>
  <c r="F12" i="2"/>
  <c r="D12" i="2"/>
  <c r="E17" i="3" l="1"/>
  <c r="E16" i="3"/>
  <c r="D16" i="3"/>
  <c r="D17" i="3"/>
  <c r="D48" i="3"/>
  <c r="G49" i="3"/>
  <c r="G62" i="3"/>
  <c r="E48" i="3"/>
  <c r="D25" i="3"/>
  <c r="F48" i="3"/>
  <c r="F25" i="3"/>
  <c r="E25" i="3"/>
  <c r="G44" i="3"/>
  <c r="G43" i="3" s="1"/>
  <c r="E15" i="3" l="1"/>
  <c r="E11" i="3" s="1"/>
  <c r="E10" i="3" s="1"/>
  <c r="D15" i="3"/>
  <c r="D11" i="3" s="1"/>
  <c r="D10" i="3" s="1"/>
  <c r="G48" i="3"/>
  <c r="G42" i="3" l="1"/>
  <c r="G41" i="3" l="1"/>
  <c r="G40" i="3" s="1"/>
  <c r="G39" i="3" l="1"/>
  <c r="G50" i="2"/>
  <c r="E41" i="2"/>
  <c r="F41" i="2"/>
  <c r="D41" i="2"/>
  <c r="E21" i="2"/>
  <c r="F21" i="2"/>
  <c r="D21" i="2"/>
  <c r="E18" i="2"/>
  <c r="F18" i="2"/>
  <c r="E15" i="2"/>
  <c r="F15" i="2"/>
  <c r="D15" i="2"/>
  <c r="D18" i="2"/>
  <c r="G38" i="2"/>
  <c r="D30" i="2" l="1"/>
  <c r="E30" i="2"/>
  <c r="F30" i="2"/>
  <c r="G38" i="3"/>
  <c r="G37" i="3" s="1"/>
  <c r="G36" i="3" s="1"/>
  <c r="G37" i="2"/>
  <c r="G41" i="2" s="1"/>
  <c r="G39" i="2"/>
  <c r="D48" i="2" l="1"/>
  <c r="D51" i="2" s="1"/>
  <c r="D52" i="2" s="1"/>
  <c r="F48" i="2"/>
  <c r="F51" i="2" s="1"/>
  <c r="F52" i="2" s="1"/>
  <c r="E48" i="2"/>
  <c r="E51" i="2" s="1"/>
  <c r="E52" i="2" s="1"/>
  <c r="G23" i="2"/>
  <c r="G51" i="2" l="1"/>
  <c r="G52" i="2" s="1"/>
  <c r="G32" i="3"/>
  <c r="G22" i="2"/>
  <c r="G21" i="2" s="1"/>
  <c r="G31" i="3" l="1"/>
  <c r="G30" i="3" s="1"/>
  <c r="G29" i="3" l="1"/>
  <c r="G27" i="3" l="1"/>
  <c r="G25" i="2" l="1"/>
  <c r="G26" i="2"/>
  <c r="G19" i="2"/>
  <c r="G20" i="2"/>
  <c r="G27" i="2"/>
  <c r="G28" i="2"/>
  <c r="G36" i="11"/>
  <c r="G34" i="11"/>
  <c r="G33" i="11"/>
  <c r="G32" i="11"/>
  <c r="G25" i="11"/>
  <c r="G13" i="11"/>
  <c r="G14" i="11" s="1"/>
  <c r="G9" i="11"/>
  <c r="G10" i="11" s="1"/>
  <c r="E76" i="10"/>
  <c r="E69" i="10"/>
  <c r="E68" i="10"/>
  <c r="E67" i="10"/>
  <c r="E65" i="10"/>
  <c r="G5" i="9"/>
  <c r="G4" i="9"/>
  <c r="G48" i="2"/>
  <c r="G35" i="3"/>
  <c r="G34" i="3"/>
  <c r="G34" i="4"/>
  <c r="G43" i="4" s="1" a="1"/>
  <c r="G43" i="4" s="1"/>
  <c r="G45" i="4" s="1"/>
  <c r="G30" i="4"/>
  <c r="G17" i="3"/>
  <c r="G16" i="3"/>
  <c r="G17" i="2"/>
  <c r="G16" i="2"/>
  <c r="G14" i="2"/>
  <c r="G13" i="2"/>
  <c r="G19" i="11" l="1"/>
  <c r="G23" i="11"/>
  <c r="G21" i="11"/>
  <c r="G6" i="9"/>
  <c r="G15" i="3"/>
  <c r="G11" i="3" s="1"/>
  <c r="G10" i="3" s="1"/>
  <c r="G33" i="3"/>
  <c r="G26" i="3" s="1"/>
  <c r="G25" i="3" s="1"/>
  <c r="G18" i="2"/>
  <c r="G15" i="2"/>
  <c r="G12" i="2"/>
  <c r="G30" i="2" l="1"/>
  <c r="D58" i="2" s="1"/>
  <c r="D59" i="2" l="1"/>
  <c r="D60" i="2"/>
  <c r="F12" i="4"/>
  <c r="G12" i="4" l="1"/>
  <c r="F29" i="4"/>
  <c r="F31" i="4" l="1"/>
  <c r="G29" i="4"/>
  <c r="G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tc={E889E143-E4CC-4B0E-826A-4953AD75DB0F}</author>
  </authors>
  <commentList>
    <comment ref="F70" authorId="0" shapeId="0" xr:uid="{E889E143-E4CC-4B0E-826A-4953AD75DB0F}">
      <text>
        <t>[Threaded comment]
Your version of Excel allows you to read this threaded comment; however, any edits to it will get removed if the file is opened in a newer version of Excel. Learn more: https://go.microsoft.com/fwlink/?linkid=870924
Comment:
    Does not include weight of household non-haz, non-mineral wastes disposed of in onsite landfill, incalculable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<sst xmlns="http://schemas.openxmlformats.org/spreadsheetml/2006/main" count="2167" uniqueCount="1319">
  <si>
    <t>2024 Sustainability Databook</t>
  </si>
  <si>
    <t>About this Document</t>
  </si>
  <si>
    <t>Calibre's 2024 Sustainability Databook is intended to offer our stakeholders a comprehensive vision of our environmental, social and governance performance, for the period January 1 to December 31, 2024.
This performance data reflects the annual disclosure of our sustainability performance at wholly owned operations and joint ventures where Calibre is the operator.
For our full 2024 Sustainability Report, visit our website at https://www.calibremining.com/sustainability/corporate-sustainability/default.aspx
For historic data from the past 5 years since Calibre started production, please visit our Interactive Analyst Centre at https://www.calibremining.com/investor-relations/interactive-analyst-centre/default.aspx
Data is reported in accordance with the Global Reporting Initiative (GRI) Standards and the related GRI G4 Mining and Metals Supplement; and the Value Reporting Foundation’s Sustainability Accounting Standards Board (SASB) 2023 Metals &amp; Mining Industry Standards. This report has not been externally assured.</t>
  </si>
  <si>
    <t>Structure of the Databook</t>
  </si>
  <si>
    <t>Performance data tables have been grouped per material topics as established in our 2024 Sustainability Report. 
Entities included in this report correspond to all operational assets unless stated otherwise, e.g.: 
*Triton Minera S.A. (e.g., El Limon Complex)
*Desarrollo Minero de Nicaragua, S.A. (e.g., La Libertad Complex)
*Calibre Pan, LLC (e.g., Pan Mine).</t>
  </si>
  <si>
    <t>About the Data</t>
  </si>
  <si>
    <r>
      <rPr>
        <b/>
        <sz val="10"/>
        <color theme="1"/>
        <rFont val="Aptos Narrow"/>
        <family val="2"/>
        <scheme val="minor"/>
      </rPr>
      <t xml:space="preserve">Currencies: </t>
    </r>
    <r>
      <rPr>
        <sz val="10"/>
        <color theme="1"/>
        <rFont val="Aptos Narrow"/>
        <family val="2"/>
        <scheme val="minor"/>
      </rPr>
      <t xml:space="preserve">All financial figures are quoted in U.S. dollars unless otherwise noted. 
</t>
    </r>
    <r>
      <rPr>
        <b/>
        <sz val="10"/>
        <color theme="1"/>
        <rFont val="Aptos Narrow"/>
        <family val="2"/>
        <scheme val="minor"/>
      </rPr>
      <t xml:space="preserve">Rounding: </t>
    </r>
    <r>
      <rPr>
        <sz val="10"/>
        <color theme="1"/>
        <rFont val="Aptos Narrow"/>
        <family val="2"/>
        <scheme val="minor"/>
      </rPr>
      <t xml:space="preserve">Some figures and percentages may not add up to the total figure or 100 percent due to rounding.
</t>
    </r>
    <r>
      <rPr>
        <b/>
        <sz val="10"/>
        <color theme="1"/>
        <rFont val="Aptos Narrow"/>
        <family val="2"/>
        <scheme val="minor"/>
      </rPr>
      <t xml:space="preserve">
Definition of local:</t>
    </r>
    <r>
      <rPr>
        <sz val="10"/>
        <color theme="1"/>
        <rFont val="Aptos Narrow"/>
        <family val="2"/>
        <scheme val="minor"/>
      </rPr>
      <t xml:space="preserve"> Throughout this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 “National, local” refers to people, suppliers and workers from the region hosting or communities surrounding operations. “National, non-local” refers to people, workers and suppliers based/registered in the country where the mine is located, but not necessarily from the region hosting or communities surrounding operations. "Nationals" refers to people, workers and suppliers from the country where the mine is located (both local and non-local).
</t>
    </r>
    <r>
      <rPr>
        <b/>
        <sz val="10"/>
        <color theme="1"/>
        <rFont val="Aptos Narrow"/>
        <family val="2"/>
        <scheme val="minor"/>
      </rPr>
      <t xml:space="preserve">Definition of site: </t>
    </r>
    <r>
      <rPr>
        <sz val="10"/>
        <color theme="1"/>
        <rFont val="Aptos Narrow"/>
        <family val="2"/>
        <scheme val="minor"/>
      </rPr>
      <t xml:space="preserve">We understand that mining activities have impacts that often manifest locally. Given our operations span across diverse regions, environments and jurisdictions, we provide whenever data is available, site-level  information about our most material topics that is, information for each of the Company’s material mineral properties as defined in our latest Annual Information Form available in our website at https://www.calibremining.com/investor-relations/financials-reports/default.aspx.
</t>
    </r>
  </si>
  <si>
    <t>References</t>
  </si>
  <si>
    <t>Documents</t>
  </si>
  <si>
    <t>Where to find them</t>
  </si>
  <si>
    <t>Corporate Governance</t>
  </si>
  <si>
    <t>Board Charters and Corporate Policies</t>
  </si>
  <si>
    <t>Sustainability Reports</t>
  </si>
  <si>
    <t>Corporate Sustainability</t>
  </si>
  <si>
    <t>Responsible Gold Mining Principles (RGMP) Reports</t>
  </si>
  <si>
    <t>2023 Climate Report</t>
  </si>
  <si>
    <t>Annual Information Form (AIF)</t>
  </si>
  <si>
    <t>Financials &amp; Reports</t>
  </si>
  <si>
    <t>Extractive Sector Transparency Measures Act Reports</t>
  </si>
  <si>
    <t>ESTMA</t>
  </si>
  <si>
    <t>Notice of Annual General Meeting and Information Circular</t>
  </si>
  <si>
    <t>AGM Materials</t>
  </si>
  <si>
    <t>Historic 5-Year Sustainability Data</t>
  </si>
  <si>
    <t>Interactive Analyst Centre</t>
  </si>
  <si>
    <t>List of Material Topics</t>
  </si>
  <si>
    <t>Material Topics(1) and Applicable GRI Disclosures by Mine Site(2) FY2024</t>
  </si>
  <si>
    <t>Limon Complex [Triton S.A.]</t>
  </si>
  <si>
    <t>Libertad Complex [DESMINIC, S.A.](3)</t>
  </si>
  <si>
    <t>Pan Mine [Calibre Pan, LLC]</t>
  </si>
  <si>
    <r>
      <rPr>
        <i/>
        <sz val="10"/>
        <color rgb="FF002E5D"/>
        <rFont val="Aptos Narrow"/>
        <family val="2"/>
        <scheme val="minor"/>
      </rPr>
      <t>Country</t>
    </r>
    <r>
      <rPr>
        <sz val="10"/>
        <color rgb="FF002E5D"/>
        <rFont val="Aptos Narrow"/>
        <family val="2"/>
        <scheme val="minor"/>
      </rPr>
      <t xml:space="preserve">: Nicaragua
</t>
    </r>
    <r>
      <rPr>
        <i/>
        <sz val="10"/>
        <color rgb="FF002E5D"/>
        <rFont val="Aptos Narrow"/>
        <family val="2"/>
        <scheme val="minor"/>
      </rPr>
      <t>Location</t>
    </r>
    <r>
      <rPr>
        <sz val="10"/>
        <color rgb="FF002E5D"/>
        <rFont val="Aptos Narrow"/>
        <family val="2"/>
        <scheme val="minor"/>
      </rPr>
      <t xml:space="preserve">: Larreynaga, Leon
</t>
    </r>
    <r>
      <rPr>
        <i/>
        <sz val="10"/>
        <color rgb="FF002E5D"/>
        <rFont val="Aptos Narrow"/>
        <family val="2"/>
        <scheme val="minor"/>
      </rPr>
      <t>Size of Concession</t>
    </r>
    <r>
      <rPr>
        <sz val="10"/>
        <color rgb="FF002E5D"/>
        <rFont val="Aptos Narrow"/>
        <family val="2"/>
        <scheme val="minor"/>
      </rPr>
      <t>: 20,147 hectares</t>
    </r>
  </si>
  <si>
    <r>
      <rPr>
        <i/>
        <sz val="10"/>
        <color rgb="FF002E5D"/>
        <rFont val="Aptos Narrow"/>
        <family val="2"/>
        <scheme val="minor"/>
      </rPr>
      <t>Country</t>
    </r>
    <r>
      <rPr>
        <sz val="10"/>
        <color rgb="FF002E5D"/>
        <rFont val="Aptos Narrow"/>
        <family val="2"/>
        <scheme val="minor"/>
      </rPr>
      <t xml:space="preserve">: Nicaragua
</t>
    </r>
    <r>
      <rPr>
        <i/>
        <sz val="10"/>
        <color rgb="FF002E5D"/>
        <rFont val="Aptos Narrow"/>
        <family val="2"/>
        <scheme val="minor"/>
      </rPr>
      <t>Locations</t>
    </r>
    <r>
      <rPr>
        <sz val="10"/>
        <color rgb="FF002E5D"/>
        <rFont val="Aptos Narrow"/>
        <family val="2"/>
        <scheme val="minor"/>
      </rPr>
      <t xml:space="preserve">: La Libertad and Santo Domingo, Chontales; Rosita, RACCN
</t>
    </r>
    <r>
      <rPr>
        <i/>
        <sz val="10"/>
        <color rgb="FF002E5D"/>
        <rFont val="Aptos Narrow"/>
        <family val="2"/>
        <scheme val="minor"/>
      </rPr>
      <t>Size of Concession</t>
    </r>
    <r>
      <rPr>
        <sz val="10"/>
        <color rgb="FF002E5D"/>
        <rFont val="Aptos Narrow"/>
        <family val="2"/>
        <scheme val="minor"/>
      </rPr>
      <t>: 65,758 hectares</t>
    </r>
  </si>
  <si>
    <r>
      <rPr>
        <i/>
        <sz val="10"/>
        <color rgb="FF002E5D"/>
        <rFont val="Aptos Narrow"/>
        <family val="2"/>
        <scheme val="minor"/>
      </rPr>
      <t>Country</t>
    </r>
    <r>
      <rPr>
        <sz val="10"/>
        <color rgb="FF002E5D"/>
        <rFont val="Aptos Narrow"/>
        <family val="2"/>
        <scheme val="minor"/>
      </rPr>
      <t xml:space="preserve">: United States
</t>
    </r>
    <r>
      <rPr>
        <i/>
        <sz val="10"/>
        <color rgb="FF002E5D"/>
        <rFont val="Aptos Narrow"/>
        <family val="2"/>
        <scheme val="minor"/>
      </rPr>
      <t>Location</t>
    </r>
    <r>
      <rPr>
        <sz val="10"/>
        <color rgb="FF002E5D"/>
        <rFont val="Aptos Narrow"/>
        <family val="2"/>
        <scheme val="minor"/>
      </rPr>
      <t xml:space="preserve">: Nevada
</t>
    </r>
    <r>
      <rPr>
        <i/>
        <sz val="10"/>
        <color rgb="FF002E5D"/>
        <rFont val="Aptos Narrow"/>
        <family val="2"/>
        <scheme val="minor"/>
      </rPr>
      <t>Size of Claim</t>
    </r>
    <r>
      <rPr>
        <sz val="10"/>
        <color rgb="FF002E5D"/>
        <rFont val="Aptos Narrow"/>
        <family val="2"/>
        <scheme val="minor"/>
      </rPr>
      <t>: 4,319 ha</t>
    </r>
  </si>
  <si>
    <t>Highly significant impacts</t>
  </si>
  <si>
    <t>Site-level data</t>
  </si>
  <si>
    <t>ENVIRONMENT</t>
  </si>
  <si>
    <r>
      <rPr>
        <b/>
        <sz val="10"/>
        <color rgb="FF002E5D"/>
        <rFont val="Aptos Narrow"/>
        <family val="2"/>
        <scheme val="minor"/>
      </rPr>
      <t>Environment &amp; Biodiversity Management</t>
    </r>
    <r>
      <rPr>
        <sz val="10"/>
        <color rgb="FF002E5D"/>
        <rFont val="Aptos Narrow"/>
        <family val="2"/>
        <scheme val="minor"/>
      </rPr>
      <t xml:space="preserve">
Biodiversity (101-1, 101-2, 101-4, 101-5, 101-6, 101-7, 101-8)
Closure and rehabilitation</t>
    </r>
  </si>
  <si>
    <t>Y</t>
  </si>
  <si>
    <t>Water and Effluents (303-1, 303-2, 303-3, 303-4, 303-5)</t>
  </si>
  <si>
    <r>
      <rPr>
        <b/>
        <sz val="10"/>
        <color rgb="FF002E5D"/>
        <rFont val="Aptos Narrow"/>
        <family val="2"/>
        <scheme val="minor"/>
      </rPr>
      <t>Waste and Materials</t>
    </r>
    <r>
      <rPr>
        <sz val="10"/>
        <color rgb="FF002E5D"/>
        <rFont val="Aptos Narrow"/>
        <family val="2"/>
        <scheme val="minor"/>
      </rPr>
      <t xml:space="preserve">
Waste (306-1, 306-2, 306-3, 306-4, 306-5)
Tailings
Critical incident management</t>
    </r>
  </si>
  <si>
    <r>
      <rPr>
        <b/>
        <sz val="10"/>
        <color rgb="FF002E5D"/>
        <rFont val="Aptos Narrow"/>
        <family val="2"/>
        <scheme val="minor"/>
      </rPr>
      <t>Climate Action</t>
    </r>
    <r>
      <rPr>
        <sz val="10"/>
        <color rgb="FF002E5D"/>
        <rFont val="Aptos Narrow"/>
        <family val="2"/>
        <scheme val="minor"/>
      </rPr>
      <t xml:space="preserve">
GHG emissions (302-1, 302-2, 302-3, 305-1, 305-2, 305-3*, 305-4, 305-5)
Climate adaptation and resilience (201-2)
Air emissions (305-7*)</t>
    </r>
  </si>
  <si>
    <t>SOCIAL</t>
  </si>
  <si>
    <r>
      <rPr>
        <b/>
        <sz val="10"/>
        <color rgb="FF002E5D"/>
        <rFont val="Aptos Narrow"/>
        <family val="2"/>
        <scheme val="minor"/>
      </rPr>
      <t>Labor Rights</t>
    </r>
    <r>
      <rPr>
        <sz val="10"/>
        <color rgb="FF002E5D"/>
        <rFont val="Aptos Narrow"/>
        <family val="2"/>
        <scheme val="minor"/>
      </rPr>
      <t xml:space="preserve">
Employment practices (202-1, 401-1, 401-3, 401-2, 402-1, 404-1, 404-2)
Freedom of association and collective bargaining (407-1)
Non-discrimination and equal opportunity (202-2, 405-1, 405-2, 406-1)</t>
    </r>
  </si>
  <si>
    <r>
      <t xml:space="preserve">Health and Safety
</t>
    </r>
    <r>
      <rPr>
        <sz val="10"/>
        <color rgb="FF002E5D"/>
        <rFont val="Aptos Narrow"/>
        <family val="2"/>
        <scheme val="minor"/>
      </rPr>
      <t>Occupational Health and Safety (403-1, 403-2, 403-3, 403-4, 403-5, 403-6, 403-7, 403-8, 403-9, 403-10)
Critical incident management</t>
    </r>
  </si>
  <si>
    <t>N</t>
  </si>
  <si>
    <r>
      <rPr>
        <b/>
        <sz val="10"/>
        <color rgb="FF002E5D"/>
        <rFont val="Aptos Narrow"/>
        <family val="2"/>
        <scheme val="minor"/>
      </rPr>
      <t>Rights of Communities and Indigenous Peoples</t>
    </r>
    <r>
      <rPr>
        <sz val="10"/>
        <color rgb="FF002E5D"/>
        <rFont val="Aptos Narrow"/>
        <family val="2"/>
        <scheme val="minor"/>
      </rPr>
      <t xml:space="preserve">
Local communities (413-1, 413-2)
Rights of Indigenous Peoples (411-1)</t>
    </r>
  </si>
  <si>
    <r>
      <rPr>
        <b/>
        <sz val="10"/>
        <color rgb="FF002E5D"/>
        <rFont val="Aptos Narrow"/>
        <family val="2"/>
        <scheme val="minor"/>
      </rPr>
      <t>Land and Resource Rights</t>
    </r>
    <r>
      <rPr>
        <sz val="10"/>
        <color rgb="FF002E5D"/>
        <rFont val="Aptos Narrow"/>
        <family val="2"/>
        <scheme val="minor"/>
      </rPr>
      <t xml:space="preserve">
Resettlement
Artisanal and small-scale mining (ASM)
Conflict-affected and high-risk areas</t>
    </r>
  </si>
  <si>
    <t>-</t>
  </si>
  <si>
    <r>
      <rPr>
        <b/>
        <sz val="10"/>
        <color rgb="FF002E5D"/>
        <rFont val="Aptos Narrow"/>
        <family val="2"/>
        <scheme val="minor"/>
      </rPr>
      <t>Socio-Economic Contributions</t>
    </r>
    <r>
      <rPr>
        <sz val="10"/>
        <color rgb="FF002E5D"/>
        <rFont val="Aptos Narrow"/>
        <family val="2"/>
        <scheme val="minor"/>
      </rPr>
      <t xml:space="preserve">
Economic impacts (201-1, 202-2, 203-1, 203-2, 204-1)</t>
    </r>
  </si>
  <si>
    <t>GOVERNANCE</t>
  </si>
  <si>
    <r>
      <rPr>
        <b/>
        <sz val="10"/>
        <color rgb="FF002E5D"/>
        <rFont val="Aptos Narrow"/>
        <family val="2"/>
        <scheme val="minor"/>
      </rPr>
      <t>Corporate Governance ad Business Ethics</t>
    </r>
    <r>
      <rPr>
        <sz val="10"/>
        <color rgb="FF002E5D"/>
        <rFont val="Aptos Narrow"/>
        <family val="2"/>
        <scheme val="minor"/>
      </rPr>
      <t xml:space="preserve">
Anti-corruption (205-1, 205-2, 205-3, 405-1) 
Public policy (415-1)</t>
    </r>
  </si>
  <si>
    <r>
      <rPr>
        <b/>
        <sz val="10"/>
        <color rgb="FF002E5D"/>
        <rFont val="Aptos Narrow"/>
        <family val="2"/>
        <scheme val="minor"/>
      </rPr>
      <t>Tax Transparency</t>
    </r>
    <r>
      <rPr>
        <sz val="10"/>
        <color rgb="FF002E5D"/>
        <rFont val="Aptos Narrow"/>
        <family val="2"/>
        <scheme val="minor"/>
      </rPr>
      <t xml:space="preserve">
Payments to governments (201-4, 207-1, 207-2, 207-3, 207-4)</t>
    </r>
  </si>
  <si>
    <r>
      <rPr>
        <b/>
        <sz val="10"/>
        <color rgb="FF002E5D"/>
        <rFont val="Aptos Narrow"/>
        <family val="2"/>
        <scheme val="minor"/>
      </rPr>
      <t>Responsible Procurement</t>
    </r>
    <r>
      <rPr>
        <sz val="10"/>
        <color rgb="FF002E5D"/>
        <rFont val="Aptos Narrow"/>
        <family val="2"/>
        <scheme val="minor"/>
      </rPr>
      <t xml:space="preserve">
Child labor (408-1)
Forced labor and modern slavery (409-1)
Supplier assessment (414-1, 414-2)</t>
    </r>
  </si>
  <si>
    <t>Security Practices (410-1)</t>
  </si>
  <si>
    <t>Notes: 
(1) No changes from material topics identified in 2023; "Climate Action" substituted "GHG Emissions" to better reflect topics covered.
(2) Calibre has adopted the GRI Sector Standard 14 definition used for 'mine site', whereas "a mine site consists of open-cut and underground mines and the surface area disturbed by a mining operation; tailings storage and waste facilities; lands disturbed by the construction or improvement of haulage ways, pipelines and pipeline corridors; and roads or any surface areas in which structures, equipment, materials, or any other elements used in the mining operation are situated". 
(3) The Pavon mine in Rancho Grande, Matagalpa has been omitted from 2024 disclosures as the site was under care and maintenance for the reporting period.
(4) Disclosures marked with '*' have been omitted from the reporting as data is either under construction or unavailable.</t>
  </si>
  <si>
    <t>Tab Menu</t>
  </si>
  <si>
    <t>TAB / MATERIAL TOPIC</t>
  </si>
  <si>
    <t>TABLE / DISCLOSURE</t>
  </si>
  <si>
    <t>FRAMEWORK DISCLOSURE</t>
  </si>
  <si>
    <t>00. GRI &amp; SASB Context Index</t>
  </si>
  <si>
    <t>GRI Context Index in Accordance</t>
  </si>
  <si>
    <t>GRI 1</t>
  </si>
  <si>
    <t>01. Sustainability Dashboard FY2024-2025</t>
  </si>
  <si>
    <t>Sustainability Dashboard</t>
  </si>
  <si>
    <t>Environment</t>
  </si>
  <si>
    <t>E01. Environment &amp; Biodiversity Management</t>
  </si>
  <si>
    <t>Biodiversity Overview</t>
  </si>
  <si>
    <t>GRI 101-02 (14.4.3); 101-5 (14.4.5); 101-6 (14.4.6); 101-7 (14.4.7); 14.8.6</t>
  </si>
  <si>
    <t>Closure and Rehabilitation</t>
  </si>
  <si>
    <t>GRI 101-2; 101-5; 14.08.04; 14.08.05; 14.08.06; &amp; SASB EM-MM-160a.3.1; EM-MM-160a.3.2</t>
  </si>
  <si>
    <t>E02. Water &amp; Effluents</t>
  </si>
  <si>
    <t xml:space="preserve">Water Withdrawal </t>
  </si>
  <si>
    <t xml:space="preserve">GRI 303-3 (14.7.4); &amp; SASB EM-MM-140a.1 </t>
  </si>
  <si>
    <t xml:space="preserve">Water Discharge </t>
  </si>
  <si>
    <t>GRI 303-4 (14.7.5)</t>
  </si>
  <si>
    <t xml:space="preserve">Water Consumption </t>
  </si>
  <si>
    <t xml:space="preserve">GRI 303-5 (14.7.6); &amp; SASB EM-MM-140a.1 </t>
  </si>
  <si>
    <t>Change in Water-Use Efficiency Over Time</t>
  </si>
  <si>
    <t>SDG 6.4.1</t>
  </si>
  <si>
    <t>E03. Waste &amp; Materials</t>
  </si>
  <si>
    <t>Waste Generated</t>
  </si>
  <si>
    <t>GRI 306-3 (14.5.4); SASB EM-MM-150a.4; EM-MM-150a.5; EM-MM-150a.6; EM-MM-150a.7; &amp; SDG 12.4.2</t>
  </si>
  <si>
    <t>Non-Mineral Waste Diverted from Disposal</t>
  </si>
  <si>
    <t>GRI 306-4 (14.5.5); SASB EM-MM-150a.8; &amp; SDG 12.4.2; 12.5.1</t>
  </si>
  <si>
    <t>Non-Mineral Waste Directed to Disposal</t>
  </si>
  <si>
    <t>GRI 306-5 (14.5.6)</t>
  </si>
  <si>
    <t>Tailings Storage Facility Inventory Table</t>
  </si>
  <si>
    <t>GRI 14.6.2; 14.6.3; &amp; SASB EM-MM-540a.1</t>
  </si>
  <si>
    <t>E04. Climate Action</t>
  </si>
  <si>
    <t xml:space="preserve">Energy Consumption within the Organization </t>
  </si>
  <si>
    <t>GRI 302-1 (14.1.2); SASB EM-MM-130a.1; &amp; SDG 7.2.1</t>
  </si>
  <si>
    <t>Energy Intensity</t>
  </si>
  <si>
    <t>GRI 302-3 (14.1.4)</t>
  </si>
  <si>
    <t>Direct (Scope 1) GHG Emissions</t>
  </si>
  <si>
    <t>GRI 305-1 (14.1.5); &amp; SASB EM-MM-110a.1</t>
  </si>
  <si>
    <t>Energy Indirect (Scope 2) GHG Emissions</t>
  </si>
  <si>
    <t>GRI 305-2 (14.1.6)</t>
  </si>
  <si>
    <t>Total GHG Emissions &amp; Intensity Rate</t>
  </si>
  <si>
    <t>GRI 305-4 (14.1.8); SASB EM-MM-110a.1; &amp; SDG 13.2.2</t>
  </si>
  <si>
    <t xml:space="preserve">Social </t>
  </si>
  <si>
    <t>S01. Labor Rights</t>
  </si>
  <si>
    <t>Total Number of Employees, Percentage Contractors</t>
  </si>
  <si>
    <t>SASB EM-MM-000.B</t>
  </si>
  <si>
    <t>Employees</t>
  </si>
  <si>
    <t>GRI 2-7</t>
  </si>
  <si>
    <t xml:space="preserve">Workers who are Not Employees </t>
  </si>
  <si>
    <t>GRI 2-8</t>
  </si>
  <si>
    <t>Diversity of Employees</t>
  </si>
  <si>
    <t>GRI 405-1 (14.21.5)</t>
  </si>
  <si>
    <t>Ratio of Basic Salary and Remuneration of Women to Men</t>
  </si>
  <si>
    <t>GRI 405-2 (14.21.6)</t>
  </si>
  <si>
    <t>New Employee Hires and Employee Turnover</t>
  </si>
  <si>
    <t>GRI 401-1 (14.17.3)</t>
  </si>
  <si>
    <t>Parental Leave</t>
  </si>
  <si>
    <t>S02. Health &amp; Safety</t>
  </si>
  <si>
    <t>Work-Related Injuries</t>
  </si>
  <si>
    <t>GRI 403-9 (14.16.10); &amp; SASB EM-MM-320a.1</t>
  </si>
  <si>
    <t>Work-Related Ill-Health</t>
  </si>
  <si>
    <t>GRI 403-10 (14.16.11)</t>
  </si>
  <si>
    <t>S03. Communties &amp; Indigenous Peoples</t>
  </si>
  <si>
    <t>Operations with Local Community Engagement, Impact Assessments and Development Plans</t>
  </si>
  <si>
    <t>GRI 413-1 (14.10.2)</t>
  </si>
  <si>
    <t>Operations with Significant Actual and Potential Negative Impacts on Local Communities</t>
  </si>
  <si>
    <t>GRI 413-2 (14.10.3)</t>
  </si>
  <si>
    <t>Community Grievances</t>
  </si>
  <si>
    <t>GRI 14.10.4</t>
  </si>
  <si>
    <t>S04. Land &amp; Resource Rights</t>
  </si>
  <si>
    <t>Mine Sites where Involuntary Resettlement is Planned, Ongoing, or has Taken Place</t>
  </si>
  <si>
    <t>GRI 14.12.2</t>
  </si>
  <si>
    <t>Proportion of Bodies of Water with Good Ambient Water Quality</t>
  </si>
  <si>
    <t>SDG 6.3.2</t>
  </si>
  <si>
    <t>S05. Socio-Economic Contributions</t>
  </si>
  <si>
    <t>Direct Economic Value Generated and Distributed</t>
  </si>
  <si>
    <t>GRI 201-1 (14.9.2; 14.23.2)</t>
  </si>
  <si>
    <t>Infrastructure Investments and Services Supported</t>
  </si>
  <si>
    <t>GRI 203-1 (14.9.3)</t>
  </si>
  <si>
    <t xml:space="preserve">Significant Indirect Economic Impacts </t>
  </si>
  <si>
    <t>GRI 203-2 (14.9.4)</t>
  </si>
  <si>
    <t>Proportion of Spending on Local Suppliers</t>
  </si>
  <si>
    <t>GRI 204-1 (14.9.5)</t>
  </si>
  <si>
    <t>Percentage of Workers Hired from the Local Community</t>
  </si>
  <si>
    <t>GRI 14.9.6</t>
  </si>
  <si>
    <t>Proportion of Senior Management Hired from the Local Community</t>
  </si>
  <si>
    <t>GRI 202-2 (14.21.2)</t>
  </si>
  <si>
    <t>Governance</t>
  </si>
  <si>
    <t>G01. Corporate Governance and Business Ethics</t>
  </si>
  <si>
    <t>Diversity of Governance Bodies</t>
  </si>
  <si>
    <t>Compliance with Laws and Regulations</t>
  </si>
  <si>
    <t>GRI 2-27 (2021)</t>
  </si>
  <si>
    <t>G04. Security Practices</t>
  </si>
  <si>
    <t>Security Personnel Trained in Human Rights</t>
  </si>
  <si>
    <t>GRI 410-01 (14.14.2)</t>
  </si>
  <si>
    <t>Topic/ Applicable Disclosures:</t>
  </si>
  <si>
    <t>GRI Context Index In Accordance</t>
  </si>
  <si>
    <r>
      <rPr>
        <u/>
        <sz val="10"/>
        <color theme="10"/>
        <rFont val="Wingdings 3"/>
        <family val="1"/>
        <charset val="2"/>
      </rPr>
      <t></t>
    </r>
    <r>
      <rPr>
        <u/>
        <sz val="10"/>
        <color theme="10"/>
        <rFont val="Aptos Narrow"/>
        <family val="2"/>
        <scheme val="minor"/>
      </rPr>
      <t>   Back to Menu</t>
    </r>
  </si>
  <si>
    <t>Statement of use</t>
  </si>
  <si>
    <t>Calibre Mining Corp. has reported in accordance with the GRI Standards for the period January 1, to December 31, 2024.</t>
  </si>
  <si>
    <t>GRI 1 used</t>
  </si>
  <si>
    <t>GRI 1: Foundations 2021</t>
  </si>
  <si>
    <t>Applicable GRI Sector Standard(s)</t>
  </si>
  <si>
    <t>GRI 14: Mining Sector 2024</t>
  </si>
  <si>
    <t>OMISSION</t>
  </si>
  <si>
    <t>GRI STANDARD / OTHER SOURCE</t>
  </si>
  <si>
    <t>DISCLOSURE</t>
  </si>
  <si>
    <t>LOCATION</t>
  </si>
  <si>
    <t>REQUIREMENT(S) OMITTED</t>
  </si>
  <si>
    <t>REASON</t>
  </si>
  <si>
    <t>EXPLANATION</t>
  </si>
  <si>
    <t>GRI SECTOR STANDARD REF. NO.</t>
  </si>
  <si>
    <t>GENERAL DISCLOSURES</t>
  </si>
  <si>
    <t>GRI 2: General Disclosures 2021</t>
  </si>
  <si>
    <t>2-1 Organizational details</t>
  </si>
  <si>
    <t>Annual Information Form (AIF) for the year ended December 31, 2024 &gt; Corporate Structure (p.6) at https://www.calibremining.com/investor-relations/financials-reports/default.aspx</t>
  </si>
  <si>
    <t>2-2 Entities included in the organization's sustainability reporting</t>
  </si>
  <si>
    <t>2024 Sustainability Report &gt; 1. Overview &gt; 1.2 About this Report</t>
  </si>
  <si>
    <t>2-3 Reporting period, frequency and contact point</t>
  </si>
  <si>
    <t>2-4 Restatements of information</t>
  </si>
  <si>
    <r>
      <t>*</t>
    </r>
    <r>
      <rPr>
        <i/>
        <sz val="10"/>
        <color theme="1"/>
        <rFont val="Aptos Narrow"/>
        <family val="2"/>
        <scheme val="minor"/>
      </rPr>
      <t>GRI 101-6 (14.4.6) Direct Drivers of Biodiversity Loss</t>
    </r>
    <r>
      <rPr>
        <sz val="10"/>
        <color theme="1"/>
        <rFont val="Aptos Narrow"/>
        <family val="2"/>
        <scheme val="minor"/>
      </rPr>
      <t>: Types of ecosystem before conversion corrected for La Libertad (from Grassland and dry forest' to 'Grassland and rainforest') and after conversion corrected for El Limon (from 'Fragmented forest' to 'Fragmented ecosystem tropical dry').
*</t>
    </r>
    <r>
      <rPr>
        <i/>
        <sz val="10"/>
        <color theme="1"/>
        <rFont val="Aptos Narrow"/>
        <family val="2"/>
        <scheme val="minor"/>
      </rPr>
      <t>GRI 201-1 (14.9.2 &amp; 14.23.2) Direct economic value generated and distributed</t>
    </r>
    <r>
      <rPr>
        <sz val="10"/>
        <color theme="1"/>
        <rFont val="Aptos Narrow"/>
        <family val="2"/>
        <scheme val="minor"/>
      </rPr>
      <t>: Definitions have been refined and adapted to better reflect Calibre’s circumstances and actual value generated and distributed. A restatement of information shall be made for data from previous years to align with updated definitions at the ESG Analyst Center at https://www.calibremining.com/investor-relations/interactive-analyst-centre/default.aspx
*</t>
    </r>
    <r>
      <rPr>
        <i/>
        <sz val="10"/>
        <color theme="1"/>
        <rFont val="Aptos Narrow"/>
        <family val="2"/>
        <scheme val="minor"/>
      </rPr>
      <t>GRI 305-4 (14.1.8) GHG Emissions Intensity</t>
    </r>
    <r>
      <rPr>
        <sz val="10"/>
        <color theme="1"/>
        <rFont val="Aptos Narrow"/>
        <family val="2"/>
        <scheme val="minor"/>
      </rPr>
      <t>: Intensity rate for 2023 corrected for Pan Mine (from 0.05 to 0.63) and Company Intensity (from 0.44 to 0.56), as data for Pan Mine was miscalculated, only considering Scope 2.
*</t>
    </r>
    <r>
      <rPr>
        <i/>
        <sz val="10"/>
        <color theme="1"/>
        <rFont val="Aptos Narrow"/>
        <family val="2"/>
        <scheme val="minor"/>
      </rPr>
      <t>GRI 306-3 (14.5.4) Waste Generated</t>
    </r>
    <r>
      <rPr>
        <sz val="10"/>
        <color theme="1"/>
        <rFont val="Aptos Narrow"/>
        <family val="2"/>
        <scheme val="minor"/>
      </rPr>
      <t>: Total rock waste generated in 2023 corrected (from 15,684,817 t to 27,634 t), as sum for Nicaragua only mistakenly considered data from El Limon Complex.
*</t>
    </r>
    <r>
      <rPr>
        <i/>
        <sz val="10"/>
        <color theme="1"/>
        <rFont val="Aptos Narrow"/>
        <family val="2"/>
        <scheme val="minor"/>
      </rPr>
      <t>GRI 403-5 (14.16.6) Worker Training on Occupational Health and Safety</t>
    </r>
    <r>
      <rPr>
        <sz val="10"/>
        <color theme="1"/>
        <rFont val="Aptos Narrow"/>
        <family val="2"/>
        <scheme val="minor"/>
      </rPr>
      <t>: Correct data for average training hours for entire workforce in 2023 corrected from 53 to 16; error due to miscalculation in formula.</t>
    </r>
  </si>
  <si>
    <t>2-5 External assurance</t>
  </si>
  <si>
    <t>2-6 Activities, value chain and other business relationships</t>
  </si>
  <si>
    <t>Annual Information Form (AIF) for the year ended December 31, 2024 &gt; Description of the Business (p.11) at https://www.calibremining.com/investor-relations/financials-reports/default.aspx</t>
  </si>
  <si>
    <t>2-7 Employees</t>
  </si>
  <si>
    <t>2024 Sustainability Report &gt; 3. Social &gt; 3.1 Labor Rights &gt; 3.1.4 Metrics and Targets
2024 Sustainability Databook &gt; Labor Rights &gt; Employees</t>
  </si>
  <si>
    <t>2-8 Workers who are not employees</t>
  </si>
  <si>
    <t>2024 Sustainability Report &gt; 3. Social &gt; 3.1 Labor Rights &gt; 3.1.4 Metrics and Targets
2024 Sustainability Databook &gt; Labor Rights &gt; 2-8 Workers Who Are Not Employees</t>
  </si>
  <si>
    <t>2-9 Governance structure and composition</t>
  </si>
  <si>
    <t>2024 Sustainability Report &gt; 4. Governance &gt; 4.1 Corporate Governance and Business Ethics &gt; 4.1.1 Governance</t>
  </si>
  <si>
    <t>2-10 Nomination and selection of the highest governance body</t>
  </si>
  <si>
    <t>Corporate Governance Policies and Procedures Manual &gt; Corporate Governance and Nominating Committe Mandate (p.15) at https://s204.q4cdn.com/793454556/files/doc_downloads/govdoc/20241106_Calibre_Mining_-_Corporate_Governance_Manual.pdf</t>
  </si>
  <si>
    <t>2-11 Chair of the highest governance body</t>
  </si>
  <si>
    <t>Corporate Governance Policies and Procedures Manual &gt; Board of Directors Mandate (p.4) at https://s204.q4cdn.com/793454556/files/doc_downloads/govdoc/20241106_Calibre_Mining_-_Corporate_Governance_Manual.pdf</t>
  </si>
  <si>
    <t>2-12 Role of the highest governance body in overseeing the management of impacts</t>
  </si>
  <si>
    <t>2-13 Delegation of responsibility for managing impacts</t>
  </si>
  <si>
    <t>2024 Sustainability Report &gt; 4. Govrnance &gt; 4.1 Corporate Governance and Business Ethics &gt; 4.1.1 Governance</t>
  </si>
  <si>
    <t>2-14 Role of the highest governance body in sustainability reporting</t>
  </si>
  <si>
    <t>2-15 Conflicts of interest</t>
  </si>
  <si>
    <t>Corporate Governance Policies and Procedures Manual &gt; Corporate Governance and Nominating Committe Mandate (p. 16) and Code of Business Conduct and Ethics (p. 32), at https://s204.q4cdn.com/793454556/files/doc_downloads/govdoc/20241106_Calibre_Mining_-_Corporate_Governance_Manual.pdf</t>
  </si>
  <si>
    <t>2-16 Communication of critical concerns</t>
  </si>
  <si>
    <t>2024 Sustainability Report &gt; 4. Governance &gt; 4.1 Corporate Governance and Business Ethics &gt; 4.1.3 Risk Management</t>
  </si>
  <si>
    <t>2-17 Collective knowledge of the highest governance body</t>
  </si>
  <si>
    <t>2024 Sustainability Report &gt; 4. Governance &gt; 4.1 Corporate Governance and Business Ethics &gt; 4.1.4 Metrics and Targets &gt; Highlight Story</t>
  </si>
  <si>
    <t>2-18 Evaluation of the performance of the highest governance body</t>
  </si>
  <si>
    <t>Corporate Governance Policies and Procedures Manual &gt; Corporate Governance and Nominating Committe Mandate (p.16) &amp; Compensation Committee Mandate (p.20) at https://s204.q4cdn.com/793454556/files/doc_downloads/govdoc/20241106_Calibre_Mining_-_Corporate_Governance_Manual.pdf</t>
  </si>
  <si>
    <t>2-19 Remuneration policies</t>
  </si>
  <si>
    <t>Corporate Governance Policies and Procedures Manual &gt; Compensation Committee Mandate (p.19) at https://s204.q4cdn.com/793454556/files/doc_downloads/govdoc/20241106_Calibre_Mining_-_Corporate_Governance_Manual.pdf</t>
  </si>
  <si>
    <t>2-20 Process to determine remuneration</t>
  </si>
  <si>
    <t>2-21 Annual total compensation ratio</t>
  </si>
  <si>
    <t>2024 Sustainability Report &gt; 4. Governance &gt; 4.1 Corporate Governance and Business Ethics &gt; 4.1.4 Metrics and Targets</t>
  </si>
  <si>
    <t>2-22 Statement on sustainable development strategy</t>
  </si>
  <si>
    <t>2024 Sustainability Report &gt; 1. Overview &gt; 1.3 Leadership Insights &amp; 1.5 Our Approach to Sustainability</t>
  </si>
  <si>
    <t>2-23 Policy commitments</t>
  </si>
  <si>
    <t>Corporate Governance at https://www.calibremining.com/corporate/corporate-governance/default.aspx</t>
  </si>
  <si>
    <t>2-24 Embedding policy commitments</t>
  </si>
  <si>
    <t>2-25 Processes to remediate negative impacts</t>
  </si>
  <si>
    <t>2-26 Mechanisms for seeking advice and raising concerns</t>
  </si>
  <si>
    <t>2-27 Compliance with laws and regulations</t>
  </si>
  <si>
    <t>Corporate Governance Policies and Procedures Manual &gt; Code of Business Conduct and Ethics (p. 30), at https://s204.q4cdn.com/793454556/files/doc_downloads/govdoc/20241106_Calibre_Mining_-_Corporate_Governance_Manual.pdf</t>
  </si>
  <si>
    <t>2-28 Membership associations</t>
  </si>
  <si>
    <t>2024 Sustainability Report &gt; 1. Overview &gt; 1.6 Commitments and Memberships</t>
  </si>
  <si>
    <t>14.24.1</t>
  </si>
  <si>
    <t>2-29 Approach to stakeholder engagement</t>
  </si>
  <si>
    <t>2024 Sustainability Report &gt; 1. Overview &gt; 1.8 Our Approach to Stakeholder Engagement</t>
  </si>
  <si>
    <t>2-30 Collective bargaining agreements</t>
  </si>
  <si>
    <t>2024 Sustainability Report &gt; 3. Social &gt; 3.1 Labor Rights &gt; 3.1.4 Metrics and Targets</t>
  </si>
  <si>
    <t>SASB Metals &amp; Mining &gt; Activity Metrics</t>
  </si>
  <si>
    <t>EM-MM-000.A Production of (1) metal ores and (2) finished metal products</t>
  </si>
  <si>
    <t>2024 Sustainability Report &gt; 1. Overview &gt; 1.4 Company Profile</t>
  </si>
  <si>
    <t>MATERIAL TOPICS</t>
  </si>
  <si>
    <t>GRI 3: Material Topics 2021</t>
  </si>
  <si>
    <t>3-1 Process to determine material topics</t>
  </si>
  <si>
    <t>2024 Sustainability Report &gt; 1. Overview &gt; 1.9 Understanding our Impacts</t>
  </si>
  <si>
    <t>3-2 List of material topics</t>
  </si>
  <si>
    <t>ENVIRONMENT AND BIODIVERSITY MANAGEMENT</t>
  </si>
  <si>
    <t>3-3 Management of material topics</t>
  </si>
  <si>
    <t>2024 Sustainability Report &gt; 2. Environment &gt; 2.1 Environment and Biodiversity Management</t>
  </si>
  <si>
    <t>14.4.1; 14.8.1</t>
  </si>
  <si>
    <t>GRI 101: Biodiversity 2024</t>
  </si>
  <si>
    <t>101-1 Policies to halt and reverse biodiversity loss</t>
  </si>
  <si>
    <t>2024 Sustainability Report &gt; 2. Environment &gt; 2.1 Environment and Biodiversity Management &gt; 2.1.1 Governance &amp; 2.1.2 Strategy</t>
  </si>
  <si>
    <t>14.4.2</t>
  </si>
  <si>
    <t>101-2 Management of biodiversity impacts</t>
  </si>
  <si>
    <t>2024 Sustainability Report &gt; 2. Environment &gt; 2.1 Environment and Biodiversity Management &gt; 2.1.3 Risk Management &amp;  2.1.4 Metrics and Targets</t>
  </si>
  <si>
    <t>101-2-e</t>
  </si>
  <si>
    <t>Information unavailable/ incomplete</t>
  </si>
  <si>
    <t>The organization has not collected data on this disclosure yet.</t>
  </si>
  <si>
    <t>14.4.3</t>
  </si>
  <si>
    <t>101-4 Identification of biodiversity impacts</t>
  </si>
  <si>
    <t>2024 Sustainability Report &gt; 2. Environment &gt; 2.1 Environment and Biodiversity Management &gt; 2.1.3 Risk Management</t>
  </si>
  <si>
    <t>14.4.4</t>
  </si>
  <si>
    <t>101-5 Locations with biodiversity impacts</t>
  </si>
  <si>
    <t>2024 Sustainability Report &gt; 2. Environment &gt; 2.1 Environment and Biodiversity Management &gt; 2.1.4 Metrics &amp; Targets</t>
  </si>
  <si>
    <t>14.4.5</t>
  </si>
  <si>
    <t>101-6 Direct drivers of biodiversity loss</t>
  </si>
  <si>
    <t>101-6-a-ii; 101-6-c</t>
  </si>
  <si>
    <t>Information missing for El Limon complex and incomplete for La Libertad complex.</t>
  </si>
  <si>
    <t>14.4.6</t>
  </si>
  <si>
    <t>101-7 Changes to the state of biodiversity</t>
  </si>
  <si>
    <t>101-7</t>
  </si>
  <si>
    <t>Information under construction for El Limon and La Libertad complexes.</t>
  </si>
  <si>
    <t>14.4.7</t>
  </si>
  <si>
    <t>101-8 Ecosystem services</t>
  </si>
  <si>
    <t>14.4.8</t>
  </si>
  <si>
    <t>GRI 14: Mining Sector</t>
  </si>
  <si>
    <t>Additional sector disclosures: Closure and rehabilitation</t>
  </si>
  <si>
    <t>14.8.4; 14.8.5; 14.8.6; 14.8.7; 14.8.8; 14.8.9</t>
  </si>
  <si>
    <t>SASB Metals &amp; Mining &gt; Biodiversity Impacts</t>
  </si>
  <si>
    <t>EM-MM-160a.1 Description of environmental management policies and practices for active sites</t>
  </si>
  <si>
    <t xml:space="preserve">2024 Sustainability Report &gt; 2. Environment &gt; 2.1 Environment and Biodiversity Management </t>
  </si>
  <si>
    <t>EM-MM-160a.3 Percentage of (1) proved and (2) probable reserves in or near sites with protected conservation status or endangered species habitat</t>
  </si>
  <si>
    <t>2024 Sustainability Report &gt; 2. Environment &gt; 2.1 Environment and Biodiversity Management &gt; 2.1.4 Metrics and Targets</t>
  </si>
  <si>
    <t>WATER AND EFFLUENTS</t>
  </si>
  <si>
    <t>2024 Sustainability Report &gt; 2. Environment &gt; 2.2 Water and Effluents &gt; 2.2.1 Governance; 2.2.2 Strategy &amp; 2.2.3 Risk Management</t>
  </si>
  <si>
    <t>14.7.1</t>
  </si>
  <si>
    <t>GRI 303: Water and Effluents 2018</t>
  </si>
  <si>
    <t>303-1 Interactions with water as a shared resource</t>
  </si>
  <si>
    <t>2024 Sustainability Report &gt; 2. Environment &gt; 2.2 Water and Effluents &gt; 2.2.2 Strategy &amp; 2.2.3 Risk Management</t>
  </si>
  <si>
    <t>14.7.2</t>
  </si>
  <si>
    <t>303-2 Management of water discharge-related impacts</t>
  </si>
  <si>
    <t>14.7.3</t>
  </si>
  <si>
    <t>303-3 Water withdrawal</t>
  </si>
  <si>
    <t>2024 Sustainability Report &gt; 2. Environment &gt; 2.2 Water and Effluents &gt; 2.2.4 Metrics and Targets
2024 Sustainability Databook &gt; E02. Water &amp; Effluents &gt; Water Withdrawal</t>
  </si>
  <si>
    <t>14.7.4</t>
  </si>
  <si>
    <t>303-4 Water discharge</t>
  </si>
  <si>
    <t>2024 Sustainability Report &gt; 2. Environment &gt; 2.2 Water and Effluents &gt; 2.2.4 Metrics and Targets
2024 Sustainability Databook &gt; E02. Water &amp; Effluents &gt; Water Discharge</t>
  </si>
  <si>
    <t>14.7.5</t>
  </si>
  <si>
    <t>303-5 Water consumption</t>
  </si>
  <si>
    <t>2024 Sustainability Report &gt; 2. Environment &gt; 2.2 Water and Effluents &gt; 2.2.4 Metrics and Targets
2024 Sustainability Databook &gt; E02. Water &amp; Effluents &gt; Water Consumption</t>
  </si>
  <si>
    <t>14.7.6</t>
  </si>
  <si>
    <t>SASB Metals &amp; Mining &gt; Water Management</t>
  </si>
  <si>
    <t>EM-MM-140a.1 (1) Total water withdrawn, (2) total water consumed; percentage of each in regions with High or Extremely High Baseline Water Stress</t>
  </si>
  <si>
    <t>2024 Sustainability Report &gt; 2. Environment &gt; 2.2 Water and Effluents &gt; 2.2.4 Metrics and Targets</t>
  </si>
  <si>
    <t>EM-MM-140a.2 Number of incidents of non-compliance associated with water quality permits, standards and regulations</t>
  </si>
  <si>
    <t>EM-MM-160a.2 Percentage of mine sites where acid rock drainage is: (1) predicted to occur, (2) actively mitigated, and (3) under treatment or remediation</t>
  </si>
  <si>
    <t>WASTE AND MATERIALS</t>
  </si>
  <si>
    <t>2024 Sustainability Report &gt; 2. Environment &gt; 2.3 Waste and Materials &gt; 2.3.1 Governance; 2.3.2 Strategy &amp; 2.3.3 Risk Management</t>
  </si>
  <si>
    <t>14.5.1; 14.6.1</t>
  </si>
  <si>
    <t>GRI 306: Waste 2020</t>
  </si>
  <si>
    <t>306-1 Waste generation and significant waste-related impacts</t>
  </si>
  <si>
    <t>2024 Sustainability Report &gt; 2. Environment &gt; 2.3 Waste and Materials &gt; 2.3.3 Risk Management</t>
  </si>
  <si>
    <t>14.5.2</t>
  </si>
  <si>
    <t>306-2 Management of significant waste-related impacts</t>
  </si>
  <si>
    <t>2024 Sustainability Report &gt; 2. Environment &gt; 2.3 Waste and Materials &gt; 2.3.3 Risk Management &amp; 2.3.4 Metrics and Targets</t>
  </si>
  <si>
    <t>14.5.3</t>
  </si>
  <si>
    <t>306-3 Waste generated</t>
  </si>
  <si>
    <t>2024 Sustainability Report &gt; 2. Environment &gt; 2.3 Waste and Materials &gt; 2.3.4 Metrics and Targets
2024 Sustainability Databook &gt; E03. Waste &amp; Materials &gt; Waste Generated</t>
  </si>
  <si>
    <t>14.5.4</t>
  </si>
  <si>
    <t>306-4 Waste diverted from disposal</t>
  </si>
  <si>
    <t>2024 Sustainability Report &gt; 2. Environment &gt; 2.3 Waste and Materials &gt; 2.3.4 Metrics and Targets
2024 Sustainability Databook &gt; E03. Waste &amp; Materials &gt; Non-Mineral Waste Diverted from Disposal</t>
  </si>
  <si>
    <t>14.5.5</t>
  </si>
  <si>
    <t>306-5 Waste directed to disposal</t>
  </si>
  <si>
    <t>2024 Sustainability Report &gt; 2. Environment &gt; 2.3 Waste and Materials &gt; 2.3.4 Metrics and Targets
2024 Sustainability Databook &gt; E03. Waste &amp; Materials &gt; Non-Mineral Waste Directed to Disposal</t>
  </si>
  <si>
    <t>14.5.6</t>
  </si>
  <si>
    <t>GRI 306: Effluents &amp; Waste 2016</t>
  </si>
  <si>
    <t>306-3 Significant spills</t>
  </si>
  <si>
    <t>2024 Sustainability Report &gt; 2. Environment &gt; 2.3 Waste and Materials &gt; 2.3.4 Metrics and Targets</t>
  </si>
  <si>
    <t>14.15.2</t>
  </si>
  <si>
    <t>SASB Metals &amp; Mining &gt; Waste &amp; Hazardous Materials Management</t>
  </si>
  <si>
    <t>EM-MM-150a.4 Total weight of non-mineral waste generated</t>
  </si>
  <si>
    <t>EM-MM-150a.5 Total weight of tailings produced</t>
  </si>
  <si>
    <t>EM-MM-150a.6 Total weight of waste rock generated</t>
  </si>
  <si>
    <t>EM-MM-150a.7 Total weight of hazardous waste generated</t>
  </si>
  <si>
    <t>EM-MM-150a.8 Total weight of hazardous waste recycled</t>
  </si>
  <si>
    <t>EM-MM-150a.9 Number of significant incidents associated with hazardous materials and waste management</t>
  </si>
  <si>
    <t>EM-MM-150a.10 Description of waste and hazardous materials management policies and procedures for active and inactive operations</t>
  </si>
  <si>
    <t>2024 Sustainability Report &gt; 2. Environment &gt; 2.3 Waste and Materials</t>
  </si>
  <si>
    <t>SASB Metals &amp; Mining &gt; Tailings Storage Facilities Management</t>
  </si>
  <si>
    <t>EM-MM-540a.1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</si>
  <si>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2024 Sustainability Report &gt; 2. Environment &gt; 2.3 Waste and Materials &gt; 2.3.4 Metrics and Targets
2024 Sustainability Databook &gt; E03. Waste &amp; Materials &gt; Tailings Facilities Inventory</t>
  </si>
  <si>
    <t>14.6.2; 14.6.3</t>
  </si>
  <si>
    <t>EM-MM-540a.2 Summary of tailings management systems and governance structure used to monitor and maintain the stability of tailings storage facilities</t>
  </si>
  <si>
    <t>EM-MM-540a.3 Approach to development of Emergency Preparedness and Response Plans (EPRPs) for tailings storage facilities</t>
  </si>
  <si>
    <t>CLIMATE ACTION</t>
  </si>
  <si>
    <t>2024 Sustainability Report &gt; 2. Environment &gt; 2.4 Climate Action &gt;2.4.1 Governance; 2.4.2 Strategy &amp; 2.4.3 Risk Management</t>
  </si>
  <si>
    <t>14.1.1; 14.2.1; 14.3.1</t>
  </si>
  <si>
    <t>GRI 302: Energy 2016</t>
  </si>
  <si>
    <t>302-1 Energy consumption within the organization</t>
  </si>
  <si>
    <t>2024 Sustainability Report &gt; 2. Environment &gt; 2.4 Climate Action &gt; 2.4.4 Metrics and Targets
2024 Sustainability Databook &gt; E04. Climate Action &gt; Energy Consumption within the Organization</t>
  </si>
  <si>
    <t>14.1.2</t>
  </si>
  <si>
    <t>302-2 Energy consumption outside of the organization</t>
  </si>
  <si>
    <t>Disclosure omitted.</t>
  </si>
  <si>
    <t>All</t>
  </si>
  <si>
    <t>Data under construction.</t>
  </si>
  <si>
    <t>14.1.3</t>
  </si>
  <si>
    <t>302-3 Energy intensity</t>
  </si>
  <si>
    <t>2024 Sustainability Report &gt; 2. Environment &gt; 2.4 Climate Action &gt; 2.4.4 Metrics and Targets
2024 Sustainability Databook &gt; E04. Climate Action &gt; Energy Intensity</t>
  </si>
  <si>
    <t>14.1.4</t>
  </si>
  <si>
    <t>GRI 305: Emissions 2016</t>
  </si>
  <si>
    <t>305-1 Direct (Scope 1) GHG emissions</t>
  </si>
  <si>
    <t>2024 Sustainability Report &gt; 2. Environment &gt; 2.4 Climate Action &gt; 2.4.4 Metrics and Targets
2024 Sustainability Databook &gt; E04. Climate Action &gt; Scope 1 GHG emissions</t>
  </si>
  <si>
    <t>14.1.5</t>
  </si>
  <si>
    <t>305-2 Energy indirect (Scope 2) GHG emissions</t>
  </si>
  <si>
    <t>2024 Sustainability Report &gt; 2. Environment &gt; 2.4 Climate Action &gt; 2.4.4 Metrics and Targets
2024 Sustainability Databook &gt; E04. Climate Action &gt; Scope 2 GHG emissions</t>
  </si>
  <si>
    <t>14.1.6</t>
  </si>
  <si>
    <t>305-3 Other indirect (Scope 3) GHG emissions</t>
  </si>
  <si>
    <t>14.1.7</t>
  </si>
  <si>
    <t>305-4 GHG emissions intensity</t>
  </si>
  <si>
    <t>2024 Sustainability Report &gt; 2. Environment &gt; 2.4 Climate Action &gt; 2.4.4 Metrics and Targets
2024 Sustainability Databook &gt; E04. Climate Action &gt; Total GHG Emissions &amp; Intensity Rate</t>
  </si>
  <si>
    <t>14.1.8</t>
  </si>
  <si>
    <t>305-5 Reduction of GHG emissions</t>
  </si>
  <si>
    <t>2024 Sustainability Report &gt; 2. Environment &gt; 2.4 Climate Action &gt; 2.4.4 Metrics and Targets</t>
  </si>
  <si>
    <t>14.1.9</t>
  </si>
  <si>
    <t>GRI 201: Economic Performance 2016</t>
  </si>
  <si>
    <t>201-2 Financial implications and other risks and opportunities due to climate change</t>
  </si>
  <si>
    <t>2024 Sustainability Report &gt; 2. Environment &gt; 2.4 Climate Action &gt; 2.4.4 Metrics and Targets
2023 Climate Report at https://www.calibremining.com/sustainability/corporate-sustainability/default.aspx</t>
  </si>
  <si>
    <t>14.2.2</t>
  </si>
  <si>
    <t>305-7 Nitrogen oxides (NOx), sulfur oxides (SOx), and other significant air emissions</t>
  </si>
  <si>
    <t>2024 Sustainability Report &gt; 2. Environment &gt; 2.4 Climate Action &gt; 2.4.4 Metrics and Targets
2024 Sustainability Databook &gt; E04. Climate Action &gt; Significant Air Emissions</t>
  </si>
  <si>
    <t>Information incomplete for La Libertad Complex, information missing for El Limon complex.</t>
  </si>
  <si>
    <t>14.3.2</t>
  </si>
  <si>
    <t>SASB Metals &amp; Mining &gt; Greenhouse Gas Emissions</t>
  </si>
  <si>
    <t>EM-MM-110a.1 Gross global Scope 1 emissions, percentage covered under emissions-limiting regulations</t>
  </si>
  <si>
    <t>2024 Sustainability Report &gt; 2. Environment &gt; 2.4 Climate Action &gt; 2.4.4 Metrics and Targets
2024 Sustainability Databook &gt; E04. Climate Action &gt; Scope 1 GHG Emissions</t>
  </si>
  <si>
    <t>Percentage covered under emissions-limiting regulations</t>
  </si>
  <si>
    <t>Not applicable</t>
  </si>
  <si>
    <t>No emissions-limiting regulations in place</t>
  </si>
  <si>
    <t>EM-MM-110a.2 Discussion of long- and short-term strategy or plan to manage Scope 1 emissions, emissions reduction targets, and an analysis of performance against those targets</t>
  </si>
  <si>
    <t>2025 Sustainability Report &gt; 2. Environment &gt; 2.4 Climate Action</t>
  </si>
  <si>
    <t>SASB Metals &amp; Mining &gt; Air Quality</t>
  </si>
  <si>
    <t>EM-MM-120a.1 Air emissions of the following pollutants: (1) CO, (2) NOx (excluding N2O), (3) SOx, (4) particulate matter (PM10), (5) mercury (Hg), (6) lead (Pb), and (7) volatile organic compounds (VOCs)</t>
  </si>
  <si>
    <t>SASB Metals &amp; Mining &gt; Energy Management</t>
  </si>
  <si>
    <t>EM-MM-130a.1 (1) Total energy consumed, (2) percentage grid electricity and (3) percentage renewable</t>
  </si>
  <si>
    <t>LABOR RIGHTS</t>
  </si>
  <si>
    <t>2024 Sustainability Report &gt; 3. Social &gt; 3.1 Labor Rights &gt;3.1.1 Governance; 3.1.2 Strategy &amp; 3.1.3 Risk Management</t>
  </si>
  <si>
    <t>14.17.1; 14.18.1; 14.19.1; 14.20.1; 14.21.1</t>
  </si>
  <si>
    <t>GRI 202: Market Presence 2016</t>
  </si>
  <si>
    <t>202-1 Ratios of standard entry-level wage by gender compared to local minimum wage</t>
  </si>
  <si>
    <t>14.17.2</t>
  </si>
  <si>
    <t>GRI 401: Employment 2016</t>
  </si>
  <si>
    <t>401-1 New employee hires and employee turnover</t>
  </si>
  <si>
    <t>2024 Sustainability Report &gt; 3. Social &gt; 3.1 Labor Rights &gt;3.1.1 Governance; 3.1.4 Metrics and Targets
2024 Sustainability Databook &gt; S01. Labor Rights &gt; New Employee Hires and Employee Turnover</t>
  </si>
  <si>
    <t>14.17.3</t>
  </si>
  <si>
    <t>401-2 Benefits provided to full-time employees that are not provided to temporary or part-time employees</t>
  </si>
  <si>
    <t>2024 Sustainability Report &gt; 3. Social &gt; 3.1 Labor Rights &gt;3.1.1 Governance; 3.1.4 Metrics and Targets</t>
  </si>
  <si>
    <t>14.17.4</t>
  </si>
  <si>
    <t>401-3 Parental leave</t>
  </si>
  <si>
    <t>2024 Sustainability Report &gt; 3. Social &gt; 3.1 Labor Rights &gt;3.1.1 Governance; 3.1.4 Metrics and Targets
2024 Sustainability Databook &gt; S01. Labor Rights &gt; Parental Leave</t>
  </si>
  <si>
    <t>14.17.5; 14.21.3</t>
  </si>
  <si>
    <t>GRI 402: Labor/Management Relations 2016</t>
  </si>
  <si>
    <t>402-1 Minimum notice periods regarding operational changes</t>
  </si>
  <si>
    <t>14.8.2; 14.17.6</t>
  </si>
  <si>
    <t>GRI 404: Training and Education 2016</t>
  </si>
  <si>
    <t>404-1 Average hours of training per year per employee</t>
  </si>
  <si>
    <t>14.17.7; 14.21.4</t>
  </si>
  <si>
    <t>404-2 Programs for upgrading employee skills and transition assistance programs</t>
  </si>
  <si>
    <t>14.8.3; 14.17.8</t>
  </si>
  <si>
    <t>GRI 405: Diversity and Equal Opportunity 2016</t>
  </si>
  <si>
    <t>405-1 Diversity of governance bodies and employees</t>
  </si>
  <si>
    <t>2024 Sustainability Report &gt; 3. Social &gt; 3.1 Labor Rights &gt;3.1.1 Governance; 3.1.4 Metrics and Targets
2024 Sustainability Databook &gt; S01. Labor Rights &gt; Diversity of Employees</t>
  </si>
  <si>
    <t>14.21.5</t>
  </si>
  <si>
    <t>GRI 405: Diversity and Equal Opportunity 2017</t>
  </si>
  <si>
    <t>405-2 Ratio of basic salary and remuneration of women to men</t>
  </si>
  <si>
    <t>2024 Sustainability Report &gt; 3. Social &gt; 3.1 Labor Rights &gt;3.1.1 Governance; 3.1.4 Metrics and Targets
2024 Sustainability Databook &gt; S01. Labor Rights &gt; Ratio of basic salary and remuneration of women to men</t>
  </si>
  <si>
    <t>14.21.6</t>
  </si>
  <si>
    <t>GRI 406: Non-discrimination 2016</t>
  </si>
  <si>
    <t>406-1 Incidents of discrimination and corrective actions taken</t>
  </si>
  <si>
    <t>14.21.7</t>
  </si>
  <si>
    <t>GRI 407: Freedom of Association and Collective Bargaining 2016</t>
  </si>
  <si>
    <t>407-1 Operations and suppliers in which the right to freedom of association and collective bargaining may be at risk</t>
  </si>
  <si>
    <t>14.20.2</t>
  </si>
  <si>
    <t>GRI 408: Child labor 2016</t>
  </si>
  <si>
    <t>408-1 Operations and suppliers at significant risk for incidents of child
labor</t>
  </si>
  <si>
    <t>14.18.2</t>
  </si>
  <si>
    <t>GRI 409: Forced or Compulsory Labor 2016</t>
  </si>
  <si>
    <t>409-1 Operations and suppliers at significant risk for incidents of forced or compulsory labor</t>
  </si>
  <si>
    <t>14.19.2</t>
  </si>
  <si>
    <t>EM-MM-000.B Total number of employees, percentage contractors</t>
  </si>
  <si>
    <t>2024 Sustainability Report &gt; 3. Social &gt; 3.1 Labor Rights &gt;3.1.1 Governance; 3.1.4 Metrics and Targets
2024 Sustainability Databook &gt; S01. Labor Rights &gt; Total number of employees, percentage contractors</t>
  </si>
  <si>
    <t>SASB Metals &amp; Mining &gt; Labour Relations</t>
  </si>
  <si>
    <t>EM-MM-310a.1 Percentage of active workforce covered under collective bargaining agreements, broken down by U.S. and foreign employees</t>
  </si>
  <si>
    <t>EM-MM-310a.2 Number and duration of strikes and lockouts</t>
  </si>
  <si>
    <t>14.20.3</t>
  </si>
  <si>
    <t>OCCUPATIONAL HEALTH AND SAFETY</t>
  </si>
  <si>
    <t>2024 Sustainability Report &gt; 3. Social &gt; 3.2 Occupational Health and Safety &gt;3.2.1 Governance; 3.2.2 Strategy &amp; 3.2.3 Risk Management</t>
  </si>
  <si>
    <t>14.15.1; 14.16.1</t>
  </si>
  <si>
    <t>GRI 403: Occupational Health and Safety 2018</t>
  </si>
  <si>
    <t>403-1 Occupational health and safety management system</t>
  </si>
  <si>
    <t>2024 Sustainability Report &gt; 3. Social &gt; 3.2 Occupational Health and Safety &gt;3.2.1 Governance</t>
  </si>
  <si>
    <t>14.16.2</t>
  </si>
  <si>
    <t>403-2 Hazard identification, risk assessment, and incident investigation</t>
  </si>
  <si>
    <t>2024 Sustainability Report &gt; 3. Social &gt; 3.2 Occupational Health and Safety &gt; 3.2.3 Risk Management</t>
  </si>
  <si>
    <t>14.16.3</t>
  </si>
  <si>
    <t>403-3 Occupational health services</t>
  </si>
  <si>
    <t>14.16.4</t>
  </si>
  <si>
    <t>403-4 Worker participation, consultation, and communication on occupational health and safety</t>
  </si>
  <si>
    <t>14.16.5</t>
  </si>
  <si>
    <t>403-5 Worker training on occupational health and safety</t>
  </si>
  <si>
    <t>2024 Sustainability Report &gt; 3. Social &gt; 3.2 Occupational Health and Safety &gt; 3.2.4 Metrics and Targets</t>
  </si>
  <si>
    <t>14.16.6</t>
  </si>
  <si>
    <t>403-6 Promotion of worker health</t>
  </si>
  <si>
    <t>14.16.7</t>
  </si>
  <si>
    <t>403-7 Prevention and mitigation of occupational health and safety impacts directly linked by business relationships</t>
  </si>
  <si>
    <t>14.16.8</t>
  </si>
  <si>
    <t>403-8 Workers covered by an occupational health and safety management system</t>
  </si>
  <si>
    <t>14.16.9</t>
  </si>
  <si>
    <t>403-9 Work-related injuries</t>
  </si>
  <si>
    <t>2024 Sustainability Report &gt; 3. Social &gt; 3.2 Occupational Health and Safety &gt; 3.2.4 Metrics and Targets
2024 Sustainability Databook &gt; S02. Health &amp; Safety &gt; Work-Related Injuries</t>
  </si>
  <si>
    <t>14.16.10</t>
  </si>
  <si>
    <t>403-10 Work-related ill health</t>
  </si>
  <si>
    <t>2024 Sustainability Report &gt; 3. Social &gt; 3.2 Occupational Health and Safety &gt; 3.2.4 Metrics and Targets
2024 Sustainability Databook &gt; S02. Health &amp; Safety &gt; Work-Related Ill Health</t>
  </si>
  <si>
    <t>14.16.11</t>
  </si>
  <si>
    <t>Additional sector disclosures: Critical incidents</t>
  </si>
  <si>
    <t>14.15.3</t>
  </si>
  <si>
    <t>Additional sector disclosures: Emergency Preparedness</t>
  </si>
  <si>
    <t>14.15.4</t>
  </si>
  <si>
    <t>SASB Metals &amp; Mining &gt; Workforce Health &amp; Safety</t>
  </si>
  <si>
    <t>EM-MM-320a.1 (1) MSHA all-incidence rate, (2) fatality rate, (3) near miss frequency rate (NMFR) and (4) average hours of health, safety, and emergency response training for (a) full-time employees and (b) contract employees</t>
  </si>
  <si>
    <t>Near miss frequency rate</t>
  </si>
  <si>
    <t>Information incomplete / Not applicable</t>
  </si>
  <si>
    <t>Information missing for Pan Mine. Information not applicable to Nicaraguan assets.</t>
  </si>
  <si>
    <t>RIGHTS OF COMMUNITIES AND INDIGENOUS PEOPLES</t>
  </si>
  <si>
    <t>2024 Sustainability Report &gt; 3. Social &gt; 3.3 Rights of Communities and Indigenous Peoples &gt;3.3.1 Governance; 3.3.2 Strategy &amp; 3.3.3 Risk Management</t>
  </si>
  <si>
    <t>14.10.1; 14.11.1</t>
  </si>
  <si>
    <t>GRI 413: Local Communities 2016</t>
  </si>
  <si>
    <t>413-1 Operations with local community engagement, impact assessments, and development programs</t>
  </si>
  <si>
    <t>2024 Sustainability Report &gt; 3. Social &gt; 3.3 Rights of Communities and Indigenous Peoples &gt;3.3.4 Metrics &amp; Targets
2024 Sustainability Databook &gt; S03. Communities &amp; IPs &gt; Operations with Local Community Engagement, Impact Assessments, and Development Programs</t>
  </si>
  <si>
    <t>14.10.2</t>
  </si>
  <si>
    <t>413-2 Operations with significant actual and potential negative impacts on local communities</t>
  </si>
  <si>
    <t>2024 Sustainability Report &gt; 3. Social &gt; 3.3 Rights of Communities and Indigenous Peoples &gt;3.3.4 Metrics &amp; Targets
2024 Sustainability Databook &gt; S03. Communities &amp; IPs &gt; Operations with Significant Actual and Potential Negative Impacts on Local Communities</t>
  </si>
  <si>
    <t>14.10.3</t>
  </si>
  <si>
    <t>Additional sector disclosures: Grievances</t>
  </si>
  <si>
    <t>2024 Sustainability Report &gt; 3. Social &gt; 3.3 Rights of Communities and Indigenous Peoples &gt;3.3.4 Metrics &amp; Targets
2024 Sustainability Databook &gt; S03. Communities &amp; IPs &gt; Grievances</t>
  </si>
  <si>
    <t>14.10.4</t>
  </si>
  <si>
    <t>GRI 411: Rights of Indigenous Peoples 2016</t>
  </si>
  <si>
    <t>411-1 Incidents of violations involving rights of Indigenous Peoples</t>
  </si>
  <si>
    <t>2024 Sustainability Report &gt; 3. Social &gt; 3.3 Rights of Communities and Indigenous Peoples &gt;3.3.4 Metrics &amp; Targets</t>
  </si>
  <si>
    <t>14.11.2</t>
  </si>
  <si>
    <t>Additional sector disclosures: FPIC</t>
  </si>
  <si>
    <t>14.11.4</t>
  </si>
  <si>
    <t>SASB Mining &amp; Metals &gt; Security, Human Rights &amp; Rights of Indigenous Peoples</t>
  </si>
  <si>
    <t>EM-MM-210a.2 Percentage of (1) proved and (2) probable reserves in or near indigenous land</t>
  </si>
  <si>
    <t>14.11.3</t>
  </si>
  <si>
    <t>EM-MM-210a.3 Discussion of engagement processes and due diligence practices with respect to human rights, indigenous rights, and operation in areas of conflict</t>
  </si>
  <si>
    <t>2024 Sustainability Report &gt; 3. Social &gt; 3.1 Labor Rights;  3.3 Rights of Communities and Indigenous Peoples; &amp; 3.4 Land and Resource Rights 
2024 Sustainability Report &gt; 4. Governance &gt; 4.4 Security Practices</t>
  </si>
  <si>
    <t>SASB Mining &amp; Metals &gt; Community Relations</t>
  </si>
  <si>
    <t>EM-MM-210b.1 Discussion of process to manage risks and opportunities associated with community rights and interests</t>
  </si>
  <si>
    <t>EM-MM-210b.2 Number and duration of non-technical delays</t>
  </si>
  <si>
    <t>LAND AND RESOURCE RIGHTS</t>
  </si>
  <si>
    <t>2024 Sustainability Report &gt; 3. Social &gt; 3.4 Land and Resource Rights &gt;3.4.1 Governance; 3.4.2 Strategy &amp; 3.4.3 Risk Management</t>
  </si>
  <si>
    <t>14.12.1; 14.13.1</t>
  </si>
  <si>
    <t>Additional sector disclosures: Mine Sites where Involuntary Resettlement is Planned, Ongoing, or has Taken Place</t>
  </si>
  <si>
    <t>2024 Sustainability Report &gt; 3. Social &gt; 3.4 Land and Resource Rights &gt;3.4.4 Metrics and Targets
2024 Sustainability Databook &gt; S04. Land &amp; Resource Rights &gt; Mine Sites where Involuntary Resettlement is Planned, Ongoing, or has Taken Place</t>
  </si>
  <si>
    <t>14.12.2</t>
  </si>
  <si>
    <t>Additional sector disclosures: Incidents of land and resource rights</t>
  </si>
  <si>
    <t>2024 Sustainability Report &gt; 3. Social &gt; 3.4 Land and Resource Rights &gt; 3.4.4 Metrics and Targets</t>
  </si>
  <si>
    <t>14.12.3</t>
  </si>
  <si>
    <t>Additional sector disclosures: Mine sites with ASM</t>
  </si>
  <si>
    <t>14.13.2</t>
  </si>
  <si>
    <t>Additional sector disclosures: Incidents involving ASM</t>
  </si>
  <si>
    <t>14.13.3</t>
  </si>
  <si>
    <t>Additional sector disclosures: Minerals purchased from the state</t>
  </si>
  <si>
    <t>14.23.8</t>
  </si>
  <si>
    <t>Additional sector disclosures: Due diligence process applied for operations in, or when sourcing from, conflict-affected and high-risk areas</t>
  </si>
  <si>
    <t>14.25.3</t>
  </si>
  <si>
    <t>SOCIO-ECONOMIC CONTRIBUTIONS</t>
  </si>
  <si>
    <t>2024 Sustainability Report &gt; 3. Social &gt; 3.5 Socioeconomic Contributions &gt;3.5.1 Governance; 3.5.2 Strategy &amp; 3.5.3 Risk Management</t>
  </si>
  <si>
    <t>14.9.1</t>
  </si>
  <si>
    <t>201-1 Direct economic value generated and distributed</t>
  </si>
  <si>
    <t>2024 Sustainability Report &gt; 3. Social &gt; 3.5 Socio-Economic Contributions &gt;3.5.4 Metrics and Targets
2024 Sustainability Databook &gt; S05. SocioEcon. Contributions &gt; Direct Economic Value Generated and Distributed</t>
  </si>
  <si>
    <t>14.9.2; 14.23.2</t>
  </si>
  <si>
    <t>202-2 Proportion of senior management hired from the local community</t>
  </si>
  <si>
    <t xml:space="preserve">2024 Sustainability Report &gt; 3. Social &gt; 3.5 Socio-Economic Contributions &gt;3.5.4 Metrics and Targets
2024 Sustainability Databook &gt; S05. SocioEcon. Contributions &gt; Senior Management Hired from the Local Community </t>
  </si>
  <si>
    <t>14.21.2</t>
  </si>
  <si>
    <t>GRI 203: Indirect Economic Impacts 2016</t>
  </si>
  <si>
    <t>203-1 Infrastructure investments and services supported</t>
  </si>
  <si>
    <t>2024 Sustainability Report &gt; 3. Social &gt; 3.5 Socio-Economic Contributions &gt;3.5.4 Metrics and Targets
2024 Sustainability Databook &gt; S05. SocioEcon. Contributions &gt; Infrastructure Investments and Services Supported</t>
  </si>
  <si>
    <t>14.9.3</t>
  </si>
  <si>
    <t>203-2 Significant indirect economic impacts</t>
  </si>
  <si>
    <t>2024 Sustainability Report &gt; 3. Social &gt; 3.5 Socio-Economic Contributions &gt;3.5.4 Metrics and Targets
2024 Sustainability Databook &gt; S05. SocioEcon. Contributions &gt; Significant Indirect Economic Impacts</t>
  </si>
  <si>
    <t>14.9.4</t>
  </si>
  <si>
    <t>GRI 204: Procurement Practices 2016</t>
  </si>
  <si>
    <t>204-1 Proportion of spending on local suppliers</t>
  </si>
  <si>
    <t>2024 Sustainability Report &gt; 3. Social &gt; 3.5 Socio-Economic Contributions &gt;3.5.4 Metrics and Targets
2024 Sustainability Databook &gt; S05. SocioEcon. Contributions &gt; Proportion of Spending on Local Suppliers</t>
  </si>
  <si>
    <t>14.9.5</t>
  </si>
  <si>
    <t>Additional sector disclosures: Percentage of workers hired from the local community</t>
  </si>
  <si>
    <t>2024 Sustainability Report &gt; 3. Social &gt; 3.5 Socio-Economic Contributions &gt;3.5.4 Metrics and Targets
2024 Sustainability Databook &gt; S05. SocioEcon. Contributions &gt; Workers Hired from the Local Community</t>
  </si>
  <si>
    <t>14.9.6</t>
  </si>
  <si>
    <t>CORPORATE GOVERNANCE AND BUSINESS ETHICS</t>
  </si>
  <si>
    <t>2024 Sustainability Report &gt;4. Governance &gt; 4.1 Corporate Governance and Business Ethics &gt; 4.1.1 Governance; 4.1.2 Strategy; &amp; 4.1.3 Risk Management</t>
  </si>
  <si>
    <t>14.22.1</t>
  </si>
  <si>
    <t>2024 Sustainability Report &gt;4. Governance &gt; 4.1 Corporate Governance and Business Ethics &gt;4.1.1 Governance
2024 Sustainability Databook &gt; G01. Corp. Gov. &amp; Buss. Ethics &gt; Diversity of Governance Bodies</t>
  </si>
  <si>
    <t>GRI 205: Anticorruption 2016</t>
  </si>
  <si>
    <t>205-1 Operations assessed for risks related to corruption</t>
  </si>
  <si>
    <t>2024 Sustainability Report &gt;4. Governance &gt; 4.1 Corporate Governance and Business Ethics &gt;4.1.4 Metrics and Targets</t>
  </si>
  <si>
    <t>14.22.2</t>
  </si>
  <si>
    <t>205-2 Communication and training about anti-corruption policies and procedures</t>
  </si>
  <si>
    <t>14.22.3</t>
  </si>
  <si>
    <t>205-3 Confirmed incidents of corruption and actions taken</t>
  </si>
  <si>
    <t>14.22.4</t>
  </si>
  <si>
    <t>Additional sector disclosures: Contract transparency</t>
  </si>
  <si>
    <t>Annual Information Form (AIF) for the year ended December 31, 2024 &gt; Material Contracts (p. 86) at https://www.calibremining.com/investor-relations/financials-reports/default.aspx</t>
  </si>
  <si>
    <t>14.22.5</t>
  </si>
  <si>
    <t>Additional sector disclosures: Beneficial owners</t>
  </si>
  <si>
    <t>April 24 Special Meeting - Notice of Special Meeting of  Securityholders at https://www.calibremining.com/investor-relations/agm-materials/default.aspx</t>
  </si>
  <si>
    <t>14.22.6</t>
  </si>
  <si>
    <t>GRI 415: Public Policy 2016</t>
  </si>
  <si>
    <t>415-1 Political contributions</t>
  </si>
  <si>
    <t>14.24.2</t>
  </si>
  <si>
    <t>SASB Metals &amp; Mining &gt; Business Ethics &amp; Transparency</t>
  </si>
  <si>
    <t>EM-MM-510a.1 Description of the management system for prevention of corruption and bribery throughout the value chain</t>
  </si>
  <si>
    <t>EM-MM-510a.2 Production in countries that have the 20 lowest rankings in Transparency International’s Corruption Perception Index</t>
  </si>
  <si>
    <t>2024 Sustainability Report &gt; 4.1 Corporate Governance and Business Ethics &gt; 4.1.4 Metrics and Targets</t>
  </si>
  <si>
    <t>TAX TRANSPARENCY</t>
  </si>
  <si>
    <t>2024 Sustainability Report &gt;4. Governance &gt; 4.2 Tax Transparency &gt; 4.2.1 Governance &amp; Strategy &amp; 4.2.2 Risk Management</t>
  </si>
  <si>
    <t>14.23.1</t>
  </si>
  <si>
    <t>201-4 Financial assistance received from government</t>
  </si>
  <si>
    <t>2024 Sustainability Report &gt;4. Governance &gt; 4.2 Tax Transparency &gt; 4.2.3 Metrics</t>
  </si>
  <si>
    <t>14.23.3</t>
  </si>
  <si>
    <t>GRI 207: Tax 2019</t>
  </si>
  <si>
    <t>207-1 Approach to tax</t>
  </si>
  <si>
    <t>2024 Sustainability Report &gt;4. Governance &gt; 4.2 Tax Transparency &gt; 4.2.1 Governance &amp; Strategy</t>
  </si>
  <si>
    <t>14.23.4</t>
  </si>
  <si>
    <t>207-2 Tax governance, control, and risk management</t>
  </si>
  <si>
    <t>14.23.5</t>
  </si>
  <si>
    <t>207-3 Stakeholder engagement and management of concerns related to tax</t>
  </si>
  <si>
    <t>2024 Sustainability Report &gt;4. Governance &gt; 4.2 Tax Transparency &gt; 4.2.2 Risk Management</t>
  </si>
  <si>
    <t>14.23.6</t>
  </si>
  <si>
    <t>207-4 Country-by-country reporting</t>
  </si>
  <si>
    <t>Extractive Sector Transparency Measures Act Reports at https://www.calibremining.com/sustainability/estma/default.aspx</t>
  </si>
  <si>
    <t>14.23.7</t>
  </si>
  <si>
    <t>RESPONSIBLE PROCUREMENT</t>
  </si>
  <si>
    <t>2024 Sustainability Report &gt; 4. Governance &gt; 4.3 Responsible Procurement &gt; 4.3.1 Governance; 4.3.2 Strategy &amp; 4.3.3 Risk Management</t>
  </si>
  <si>
    <t>14.18.1; 14.19.1; 14.20.1</t>
  </si>
  <si>
    <t>GRI 414: Supplier Social Assessment 2016</t>
  </si>
  <si>
    <t>414-1 New suppliers that were screened using social criteria</t>
  </si>
  <si>
    <t>2024 Sustainability Report &gt; 4. Governance &gt; 4.3 Responsible Procurement &gt; 4.3.4 Metrics and Targets</t>
  </si>
  <si>
    <t>14.17.9; 14.18.2; 14.19.3</t>
  </si>
  <si>
    <t>414-2 Negative social impacts in the supply chain and actions taken</t>
  </si>
  <si>
    <t>14.17.10; 14.18.3</t>
  </si>
  <si>
    <t>2024 Sustainability Report &gt; 4. Governance &gt; 4.3 Responsible Procurement &gt; 4.3.3 Risk Management &amp; 4.3. 4 Metrics and Targets</t>
  </si>
  <si>
    <t>2024 Sustainability Report &gt; 4. Governance &gt; 4.3 Responsible Procurement &gt;  4.3.4 Metrics and Targets</t>
  </si>
  <si>
    <t>SECURITY PRACTICES</t>
  </si>
  <si>
    <t>2024 Sustainability Report &gt; 4. Governance &gt; 4.4 Security Practices &gt; 4.4.1 Governance; 4.4.2 Strategy &amp; 4.4.3 Risk Management</t>
  </si>
  <si>
    <t>14.14.1; 14.25.1</t>
  </si>
  <si>
    <t>GRI 410: Security Practices 2016</t>
  </si>
  <si>
    <t>410-1 Security personnel trained in human rights policies or procedures</t>
  </si>
  <si>
    <t>2024 Sustainability Report &gt; 4. Governance &gt; 4.4 Security Practices &gt; 4.4.4 Metrics and Targets</t>
  </si>
  <si>
    <t>14.14.2</t>
  </si>
  <si>
    <t>Additional sector disclosures: Operations in conflict-affected or high-risk areas</t>
  </si>
  <si>
    <t>14.25.2</t>
  </si>
  <si>
    <t>Additional sector disclosures: Potential negative impacts on workers and local communities</t>
  </si>
  <si>
    <t xml:space="preserve">2025 Sustainability Report &gt; 4. Governance &gt; 4.4 Security Practices </t>
  </si>
  <si>
    <t>14.25.4</t>
  </si>
  <si>
    <t>EM-MM-210a.1 Percentage of (1) proved and (2) probable reserves in or near areas of conflict</t>
  </si>
  <si>
    <t>Topics in the applicable GRI Sector Standards determined as not material</t>
  </si>
  <si>
    <t xml:space="preserve">TOPIC </t>
  </si>
  <si>
    <t>GRI Sector Standard 14. Mining Sector</t>
  </si>
  <si>
    <t>Environment and Biodiversity Management</t>
  </si>
  <si>
    <t>Table Menu</t>
  </si>
  <si>
    <r>
      <t xml:space="preserve">Biodiversity Overview
</t>
    </r>
    <r>
      <rPr>
        <i/>
        <sz val="10"/>
        <color rgb="FFC19F00"/>
        <rFont val="Aptos Narrow"/>
        <family val="2"/>
        <scheme val="minor"/>
      </rPr>
      <t>(GRI 101-02 (14.4.3); 101-5 (14.4.5); 101-6 (14.4.6); 101-7 (14.4.7); 14.8.6)</t>
    </r>
  </si>
  <si>
    <t>El Limon Complex</t>
  </si>
  <si>
    <t>La Libertad Complex</t>
  </si>
  <si>
    <t>Pan Mine</t>
  </si>
  <si>
    <t>Sites</t>
  </si>
  <si>
    <t>Location</t>
  </si>
  <si>
    <t>Mina El Limon, Larreynaga, Leon, Nicaragua</t>
  </si>
  <si>
    <t>La Libertad, Chontales
Santo Domingo, Chontales
Riscos de Oro, Rosita, RACCN</t>
  </si>
  <si>
    <t>Pan Mine, 22 miles SE of Eureka, NV off US Highway 50</t>
  </si>
  <si>
    <t>Size (Ha)</t>
  </si>
  <si>
    <t>Activities</t>
  </si>
  <si>
    <t>Mining activities, including land clearance and exploitation of natural resources</t>
  </si>
  <si>
    <t>Ecologically sensitive areas in or near the sites</t>
  </si>
  <si>
    <t>Distance of the site to ecologically sensitive area</t>
  </si>
  <si>
    <t>No ecologically sensitive areas near El Limon Complex.</t>
  </si>
  <si>
    <t>No ecologically sensitive areas near La Libertad Complex.</t>
  </si>
  <si>
    <t>&lt; 1 mile from Plan of Operations boundary</t>
  </si>
  <si>
    <t>Type of ecologically sensitive area</t>
  </si>
  <si>
    <t xml:space="preserve">Not applicable. </t>
  </si>
  <si>
    <t>Area of biodiversity importance.</t>
  </si>
  <si>
    <t>Direct drivers of biodiversity loss</t>
  </si>
  <si>
    <t>Land and sea use change</t>
  </si>
  <si>
    <t>Natural ecosystem conversion</t>
  </si>
  <si>
    <t>Size of ecosystem converted (Ha)</t>
  </si>
  <si>
    <t>Cut-off date or reference date</t>
  </si>
  <si>
    <t>Ecosystem type before conversion</t>
  </si>
  <si>
    <t>Grassland and fragmented forest</t>
  </si>
  <si>
    <t>Grassland and rainforest(1)</t>
  </si>
  <si>
    <t>T5.4 Cool deserts and semi-deserts</t>
  </si>
  <si>
    <t>Ecosystem type after conversion</t>
  </si>
  <si>
    <t>Fragmented ecosystem tropical dry forest(1)</t>
  </si>
  <si>
    <t>Fragmented ecosystem tropical rainforest</t>
  </si>
  <si>
    <t>Conversion from one intensively used or modified ecosystem to another</t>
  </si>
  <si>
    <t>Fragmented ecosystem tropical dry forest due to cattle ranching.</t>
  </si>
  <si>
    <t>Fragmented ecosystem tropical rainforest due to cattle ranching and artisanal and small-scale mining activities.</t>
  </si>
  <si>
    <t>Fragmented ecosystem tropical dry forest due to mining activities.</t>
  </si>
  <si>
    <t>Fragmented ecosystem tropical rainforest due to mining activities.</t>
  </si>
  <si>
    <t xml:space="preserve">Pollution </t>
  </si>
  <si>
    <t>Pollutants</t>
  </si>
  <si>
    <t xml:space="preserve">Data under construction. </t>
  </si>
  <si>
    <t>Pb, Hg, HCHO, H2S, SO2, CO2, CO,O2,03,NO2</t>
  </si>
  <si>
    <t>Nox, Sox, VOCs, PM, Hg</t>
  </si>
  <si>
    <t>Quantity</t>
  </si>
  <si>
    <t>48 Kg</t>
  </si>
  <si>
    <t>10 t</t>
  </si>
  <si>
    <t>State of biodiversity</t>
  </si>
  <si>
    <t>Ecosystem Type</t>
  </si>
  <si>
    <t>Condition in base year</t>
  </si>
  <si>
    <t>Ecosystem has some disturbance from old mining exploration. Mainly was undisturbed desert. Nearby grazing from ranches.</t>
  </si>
  <si>
    <t>Condition in reporting period</t>
  </si>
  <si>
    <t>11.45% of ecosystem has active mining disturbance. Only restricted corridor access near active areas, around a 4.5 x 3.5 km area. Disturbed areas are capable of being fully rehabilitated.</t>
  </si>
  <si>
    <t>Notes:
(1) Restatement of information, data corrected.</t>
  </si>
  <si>
    <r>
      <t xml:space="preserve">Closure and Rehabilitation
</t>
    </r>
    <r>
      <rPr>
        <i/>
        <sz val="10"/>
        <color rgb="FFC19F00"/>
        <rFont val="Aptos Narrow"/>
        <family val="2"/>
        <scheme val="minor"/>
      </rPr>
      <t>(GRI 101-2; 101-5; 14.08.04; 14.08.05; 14.08.06; &amp; SASB EM-MM-160a.3.1; EM-MM-160a.3.2)</t>
    </r>
  </si>
  <si>
    <t>Disclosure</t>
  </si>
  <si>
    <t>Site with closure and rehabilitation plan in place?</t>
  </si>
  <si>
    <t>Yes</t>
  </si>
  <si>
    <t>Site with projects closed and rehabilitated?</t>
  </si>
  <si>
    <t>No</t>
  </si>
  <si>
    <t>Yes, the Jabali Central OP at Santo Domingo, Chontales</t>
  </si>
  <si>
    <t>Site undergoing closure and rehabilitation activities?</t>
  </si>
  <si>
    <t>Date of the most recent and next reviews of the plan(s)(1)</t>
  </si>
  <si>
    <t>Plan(s) approved by relevant authorities?</t>
  </si>
  <si>
    <t>Total land disturbed and not yet rehabilitated</t>
  </si>
  <si>
    <t>Total land disturbed and rehabilitated (including progressively rehabilitated, if applicable)</t>
  </si>
  <si>
    <t>67; out of which 6ha were rehabilitated in 2024</t>
  </si>
  <si>
    <t>227; out of which 22ha were rehabilitated in 2024</t>
  </si>
  <si>
    <t>Goals of the restoration and rehabilitation (ha)</t>
  </si>
  <si>
    <t>Target FY2024: 6 ha
Target FY2025: 10 ha</t>
  </si>
  <si>
    <t>Target FY2024: 16 ha
Target FY2025: 10 ha</t>
  </si>
  <si>
    <t>Target FY2024: 2 ha
Target FY2025: 4.8 ha</t>
  </si>
  <si>
    <t xml:space="preserve">Estimated life of the mine (LOM) </t>
  </si>
  <si>
    <t>Financial provisions for closure and rehabilitated</t>
  </si>
  <si>
    <t>US$ 23.7 M</t>
  </si>
  <si>
    <t>US$ 37.5M</t>
  </si>
  <si>
    <t>US$ 18.5M</t>
  </si>
  <si>
    <t>Percentage of proved reserves in or near(2) sites with protected conservation status or endangered species habitat</t>
  </si>
  <si>
    <t>Percentage of probable reserves in or near sites with protected conservation status or endangered species habitat</t>
  </si>
  <si>
    <t>Note:
(1) Reviews include costs updates to account for operational changes during the life of a mine and their effect on the cost of closure. In respect of El Limon Complex and La Libertad Complex, financial provisions have been recorded in Calibre’s financial statements, however these provisions are not supported by cash or surety bonds. In respect of the Pan Mine, the financial provision is supported by surety bonds, a portion of which is secured by cash-backed instruments.
(2) For the purposes of this disclosure, “near” is defined as within 5 km of the boundary of an area of protected conservation status or an endangered species habitat to the location of the entity’s proven and probable reserves.</t>
  </si>
  <si>
    <t>Water and Effluents</t>
  </si>
  <si>
    <t>*Disclosures 303-2 Management of water discharge-related impacts and 303-4 Water discharge have been omitted for the Pan Mine as it is a zero-discharge facility.</t>
  </si>
  <si>
    <t>Water Withdrawal</t>
  </si>
  <si>
    <t>Water Discharge</t>
  </si>
  <si>
    <t>Water Consumption</t>
  </si>
  <si>
    <t>Change in Water-Use Efficiency over Time</t>
  </si>
  <si>
    <r>
      <rPr>
        <b/>
        <sz val="10"/>
        <color theme="1"/>
        <rFont val="Aptos Narrow"/>
        <family val="2"/>
        <scheme val="minor"/>
      </rPr>
      <t>Water Withdrawal</t>
    </r>
    <r>
      <rPr>
        <i/>
        <sz val="10"/>
        <color theme="5"/>
        <rFont val="Aptos Narrow"/>
        <family val="2"/>
        <scheme val="minor"/>
      </rPr>
      <t xml:space="preserve">
</t>
    </r>
    <r>
      <rPr>
        <i/>
        <sz val="10"/>
        <color rgb="FFC19F00"/>
        <rFont val="Aptos Narrow"/>
        <family val="2"/>
        <scheme val="minor"/>
      </rPr>
      <t>(GRI 303-3 (14.7.4); &amp; SASB EM-MM-140a.1)</t>
    </r>
  </si>
  <si>
    <t>Water Withdrawal FY2024 (ML)(1)(2)</t>
  </si>
  <si>
    <t>Calibre</t>
  </si>
  <si>
    <t>Water withdrawal by source</t>
  </si>
  <si>
    <t>Surface water (total)</t>
  </si>
  <si>
    <t>Freshwater (≤1,000 mg/L Total Dissolved Solids)</t>
  </si>
  <si>
    <t>Other water (&gt;1,000 mg/L Total Dissolved Solids)</t>
  </si>
  <si>
    <t>Groundwater (total)</t>
  </si>
  <si>
    <t>Seawater (total)</t>
  </si>
  <si>
    <t>Produced water (total)</t>
  </si>
  <si>
    <t>Total third-party water withdrawal by withdrawal source</t>
  </si>
  <si>
    <t xml:space="preserve">Surface water  </t>
  </si>
  <si>
    <t xml:space="preserve">Groundwater  </t>
  </si>
  <si>
    <t xml:space="preserve">Seawater  </t>
  </si>
  <si>
    <t xml:space="preserve">Produced water  </t>
  </si>
  <si>
    <t>Total water withdrawal</t>
  </si>
  <si>
    <t>Surface water (total) + groundwater (total) + seawater (total) + produced water (total) + third-party water (total)</t>
  </si>
  <si>
    <t>Note:
(1) Water withdrawal defined as the sum of all water drawn from surface water, groundwater, seawater, or a third party for any use
over the course of the reporting period
(2) No Calibre operation in areas with water stress as per Aqueduct Water Risk Atlas.</t>
  </si>
  <si>
    <r>
      <rPr>
        <b/>
        <sz val="10"/>
        <color theme="1"/>
        <rFont val="Aptos Narrow"/>
        <family val="2"/>
        <scheme val="minor"/>
      </rPr>
      <t>Water Discharge</t>
    </r>
    <r>
      <rPr>
        <b/>
        <i/>
        <sz val="10"/>
        <color theme="5"/>
        <rFont val="Aptos Narrow"/>
        <family val="2"/>
        <scheme val="minor"/>
      </rPr>
      <t xml:space="preserve">
</t>
    </r>
    <r>
      <rPr>
        <i/>
        <sz val="10"/>
        <color rgb="FFC19F00"/>
        <rFont val="Aptos Narrow"/>
        <family val="2"/>
        <scheme val="minor"/>
      </rPr>
      <t>(GRI 303-4 (14.7.5))</t>
    </r>
  </si>
  <si>
    <t>Water Discharge FY2024 (ML)</t>
  </si>
  <si>
    <t>Water discharge by destination</t>
  </si>
  <si>
    <t>Surface water</t>
  </si>
  <si>
    <t>Groundwater</t>
  </si>
  <si>
    <t>Seawater</t>
  </si>
  <si>
    <t>Third-party water (total)</t>
  </si>
  <si>
    <t>Third party water sent for use to other organizations</t>
  </si>
  <si>
    <t>Total water discharge</t>
  </si>
  <si>
    <t>Surface water + groundwater + seawater + third-party water (total)</t>
  </si>
  <si>
    <t>Water discharge by freshwater and other water</t>
  </si>
  <si>
    <t>Freshwater</t>
  </si>
  <si>
    <t>Other water</t>
  </si>
  <si>
    <r>
      <t xml:space="preserve">Water Consumption
</t>
    </r>
    <r>
      <rPr>
        <i/>
        <sz val="10"/>
        <color rgb="FFC19F00"/>
        <rFont val="Aptos Narrow"/>
        <family val="2"/>
        <scheme val="minor"/>
      </rPr>
      <t>(GRI 303-5 (14.7.6); &amp; SASB EM-MM-140a.1)</t>
    </r>
  </si>
  <si>
    <t>Water Consumption FY2024 (ML)</t>
  </si>
  <si>
    <t>Total water consumption(1)
(total water withdrawal minus total water discharge)</t>
  </si>
  <si>
    <t>Change in water storage, if water storage has been identified as having a significant water-related impact</t>
  </si>
  <si>
    <t>N/A</t>
  </si>
  <si>
    <t>Water recycled (2)</t>
  </si>
  <si>
    <t>Water used
(consumed plus recycled)</t>
  </si>
  <si>
    <t>Percent recycled
(water recycled divided by water used)</t>
  </si>
  <si>
    <t>Notes:
(1) 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  Water consumption includes water that has been stored during the reporting period for use or discharge in a subsequent reporting period. This definition is based on CDP Water Security Reporting Guidance, 2018.
(2) Water recycled is defined as water reused within the site for operational use.</t>
  </si>
  <si>
    <r>
      <t xml:space="preserve">Change in Water-Use Efficiency over Time
</t>
    </r>
    <r>
      <rPr>
        <i/>
        <sz val="10"/>
        <color rgb="FFC19F00"/>
        <rFont val="Aptos Narrow"/>
        <family val="2"/>
        <scheme val="minor"/>
      </rPr>
      <t>(SDG 6.4.1)</t>
    </r>
  </si>
  <si>
    <t>Water efficiency (ML)(1)</t>
  </si>
  <si>
    <t>FY2024</t>
  </si>
  <si>
    <t>FY2023</t>
  </si>
  <si>
    <t>FY2022</t>
  </si>
  <si>
    <t>FY2021</t>
  </si>
  <si>
    <t>FY2020</t>
  </si>
  <si>
    <t>Revenue (in USD$'000s)(2)</t>
  </si>
  <si>
    <t>Production (oz)(2)</t>
  </si>
  <si>
    <t>Water withdrawn (ML)</t>
  </si>
  <si>
    <t>Water efficiency  (ML water withdrawn / USD revenue)</t>
  </si>
  <si>
    <t>Water withdrawal intensity (ML water withdrawn / Au eq-oz produced)</t>
  </si>
  <si>
    <t>Notes:
(1) Water withdrawal efficiency: A measure of economic value produced from water withdrawals. For CDP disclosure, this is calculated as revenue per total water withdrawal volume in the reporting period (informed by SDG indicator 6.4.1). Source: https://guidance.cdp.net/en/guidance?cid=48&amp;ctype=theme&amp;idtype=ThemeID&amp;incchild=1&amp;microsite=0&amp;otype=Guidance&amp;tags=TAG-595%2CTAG-607%2CTAG-599#version-control-water-security
(2) Source: Calibre's MDA FY2024</t>
  </si>
  <si>
    <t>Waste and Materials</t>
  </si>
  <si>
    <t>Tailings Facilities Inventory</t>
  </si>
  <si>
    <r>
      <rPr>
        <b/>
        <sz val="10"/>
        <color theme="1"/>
        <rFont val="Aptos Narrow"/>
        <family val="2"/>
        <scheme val="minor"/>
      </rPr>
      <t>Waste Generated</t>
    </r>
    <r>
      <rPr>
        <i/>
        <sz val="10"/>
        <color theme="5"/>
        <rFont val="Aptos Narrow"/>
        <family val="2"/>
        <scheme val="minor"/>
      </rPr>
      <t xml:space="preserve">
</t>
    </r>
    <r>
      <rPr>
        <i/>
        <sz val="10"/>
        <color rgb="FFC19F00"/>
        <rFont val="Aptos Narrow"/>
        <family val="2"/>
        <scheme val="minor"/>
      </rPr>
      <t>(GRI 306-3 (14.5.4); &amp; SASB EM-MM-150a.4; EM-MM-150a.7)</t>
    </r>
  </si>
  <si>
    <t>Waste Generated FY2024 (t)</t>
  </si>
  <si>
    <t>Total Waste Generated</t>
  </si>
  <si>
    <t>Non-mineral</t>
  </si>
  <si>
    <t>Mineral</t>
  </si>
  <si>
    <t>Non-Mineral Waste Generated (t)</t>
  </si>
  <si>
    <t>Total non-mineral waste generated</t>
  </si>
  <si>
    <t>Hazardous</t>
  </si>
  <si>
    <t>Non-hazardous</t>
  </si>
  <si>
    <t>Mineral Waste Generated (t)</t>
  </si>
  <si>
    <t>Total mineral waste generated</t>
  </si>
  <si>
    <t>Tailings</t>
  </si>
  <si>
    <t>Rock waste</t>
  </si>
  <si>
    <r>
      <rPr>
        <b/>
        <sz val="10"/>
        <color theme="1"/>
        <rFont val="Aptos Narrow"/>
        <family val="2"/>
        <scheme val="minor"/>
      </rPr>
      <t>Non-Mineral Waste Diverted from Disposal</t>
    </r>
    <r>
      <rPr>
        <i/>
        <sz val="10"/>
        <color theme="5"/>
        <rFont val="Aptos Narrow"/>
        <family val="2"/>
        <scheme val="minor"/>
      </rPr>
      <t xml:space="preserve">
</t>
    </r>
    <r>
      <rPr>
        <i/>
        <sz val="10"/>
        <color rgb="FFC19F00"/>
        <rFont val="Aptos Narrow"/>
        <family val="2"/>
        <scheme val="minor"/>
      </rPr>
      <t>(GRI 306-4 (14.5.5); &amp; SASB EM-MM-150a.8)</t>
    </r>
  </si>
  <si>
    <t>Non-Mineral Waste Diverted from Disposal (t)</t>
  </si>
  <si>
    <t>Total non-mineral waste diverted from disposal</t>
  </si>
  <si>
    <t>Preparation for reuse</t>
  </si>
  <si>
    <t>Onsite</t>
  </si>
  <si>
    <t>Offsite</t>
  </si>
  <si>
    <t>Recycling</t>
  </si>
  <si>
    <t>Other recovery methods</t>
  </si>
  <si>
    <t>Non-Hazardous</t>
  </si>
  <si>
    <r>
      <rPr>
        <b/>
        <sz val="10"/>
        <color theme="1"/>
        <rFont val="Aptos Narrow"/>
        <family val="2"/>
        <scheme val="minor"/>
      </rPr>
      <t>Non-Mineral Waste Directed to Disposal</t>
    </r>
    <r>
      <rPr>
        <i/>
        <sz val="10"/>
        <color theme="5"/>
        <rFont val="Aptos Narrow"/>
        <family val="2"/>
        <scheme val="minor"/>
      </rPr>
      <t xml:space="preserve">
</t>
    </r>
    <r>
      <rPr>
        <i/>
        <sz val="10"/>
        <color rgb="FFC19F00"/>
        <rFont val="Aptos Narrow"/>
        <family val="2"/>
        <scheme val="minor"/>
      </rPr>
      <t>(GRI 306-5 (14.5.6))</t>
    </r>
  </si>
  <si>
    <t>Non-Mineral Waste Directed to Disposal (t)</t>
  </si>
  <si>
    <t>Total non-mineral waste directed to disposal (t)</t>
  </si>
  <si>
    <t>Incineration (with energy recovery)</t>
  </si>
  <si>
    <t>Incineration (without energy recovery)</t>
  </si>
  <si>
    <t>Landfilling</t>
  </si>
  <si>
    <t>Other disposal methods</t>
  </si>
  <si>
    <r>
      <rPr>
        <b/>
        <sz val="10"/>
        <color theme="1"/>
        <rFont val="Aptos Narrow"/>
        <family val="2"/>
        <scheme val="minor"/>
      </rPr>
      <t>Tailings Facilities Inventory</t>
    </r>
    <r>
      <rPr>
        <i/>
        <sz val="10"/>
        <color theme="5"/>
        <rFont val="Aptos Narrow"/>
        <family val="2"/>
        <scheme val="minor"/>
      </rPr>
      <t xml:space="preserve">
</t>
    </r>
    <r>
      <rPr>
        <i/>
        <sz val="10"/>
        <color rgb="FFC19F00"/>
        <rFont val="Aptos Narrow"/>
        <family val="2"/>
        <scheme val="minor"/>
      </rPr>
      <t>(GRI 14.6.2; 14.6.3 &amp; SASB EM-MM-540a.1)</t>
    </r>
  </si>
  <si>
    <t>Disclosure per Facility (a)</t>
  </si>
  <si>
    <t>El Limon Complex &gt; San Jose</t>
  </si>
  <si>
    <t>El Limon Complex &gt; Santa Rosa</t>
  </si>
  <si>
    <t>El Limon Complex &gt; Santa Rosa West</t>
  </si>
  <si>
    <t>La Libertad Complex  &gt; La Esperanza</t>
  </si>
  <si>
    <t>La Libertad Complex  &gt; Crimea</t>
  </si>
  <si>
    <t>(b) Location</t>
  </si>
  <si>
    <t>La Libertad, Chontales, Nicaragua</t>
  </si>
  <si>
    <t>(c) Ownership status</t>
  </si>
  <si>
    <t>Operator</t>
  </si>
  <si>
    <t>(d) Operational Status</t>
  </si>
  <si>
    <t>Active</t>
  </si>
  <si>
    <t>Inactive</t>
  </si>
  <si>
    <t>(e) Construction method</t>
  </si>
  <si>
    <t>Downstream</t>
  </si>
  <si>
    <t>In-Pit</t>
  </si>
  <si>
    <t>(f) Maximum permitted storage capacity (t)</t>
  </si>
  <si>
    <t>7,5 Mt</t>
  </si>
  <si>
    <t>N/D</t>
  </si>
  <si>
    <t>24,5 Mt</t>
  </si>
  <si>
    <t>2,83 Mt</t>
  </si>
  <si>
    <t>(g) Current amount of tailings stored (t)</t>
  </si>
  <si>
    <t>6,3 Mt</t>
  </si>
  <si>
    <t>24 Mt</t>
  </si>
  <si>
    <t>1,9 Mt</t>
  </si>
  <si>
    <t>(h) Consequence classification</t>
  </si>
  <si>
    <t>Extreme for South Dam, High for North Dam</t>
  </si>
  <si>
    <t>High</t>
  </si>
  <si>
    <t>N/A (In-Pit TSF)</t>
  </si>
  <si>
    <t>(i) Date of most recent independent technical review</t>
  </si>
  <si>
    <t>(j) Material findings</t>
  </si>
  <si>
    <t>(k) If Yes, mitigation measures</t>
  </si>
  <si>
    <t>Date of next review</t>
  </si>
  <si>
    <t>N/A as is inactive more than a decade.</t>
  </si>
  <si>
    <t>(l) Site-specific EPRP</t>
  </si>
  <si>
    <t>Topic / Applicable Disclosures:</t>
  </si>
  <si>
    <t>Climate Action</t>
  </si>
  <si>
    <r>
      <rPr>
        <i/>
        <sz val="9"/>
        <color theme="1"/>
        <rFont val="Aptos Narrow"/>
        <family val="2"/>
        <scheme val="minor"/>
      </rPr>
      <t>Note</t>
    </r>
    <r>
      <rPr>
        <sz val="9"/>
        <color theme="1"/>
        <rFont val="Aptos Narrow"/>
        <family val="2"/>
        <scheme val="minor"/>
      </rPr>
      <t>: Disclosures 305-3 Other indirect (Scope 3) GHG emissions and 302-2 Energy consumption outside of the organization omitted as data is under construction.</t>
    </r>
  </si>
  <si>
    <t>Energy Consumption</t>
  </si>
  <si>
    <t>Scope 1 GHG Emissions</t>
  </si>
  <si>
    <t>Scope 2 GHG Emissions</t>
  </si>
  <si>
    <t>Significant Air Emissions</t>
  </si>
  <si>
    <r>
      <rPr>
        <b/>
        <sz val="10"/>
        <color theme="1"/>
        <rFont val="Aptos Narrow"/>
        <family val="2"/>
        <scheme val="minor"/>
      </rPr>
      <t>Energy Consumption</t>
    </r>
    <r>
      <rPr>
        <i/>
        <sz val="10"/>
        <color theme="5"/>
        <rFont val="Aptos Narrow"/>
        <family val="2"/>
        <scheme val="minor"/>
      </rPr>
      <t xml:space="preserve">
</t>
    </r>
    <r>
      <rPr>
        <i/>
        <sz val="10"/>
        <color rgb="FFC19F00"/>
        <rFont val="Aptos Narrow"/>
        <family val="2"/>
        <scheme val="minor"/>
      </rPr>
      <t>(GRI 302-1 (14.1.2); SASB EM-MM-130a.1; SDG 7.2.1)</t>
    </r>
  </si>
  <si>
    <t>Energy Consumption FY2024 (GJ)(1)</t>
  </si>
  <si>
    <t>Total energy consumed (direct + indirect)</t>
  </si>
  <si>
    <t>Total direct energy consumed</t>
  </si>
  <si>
    <t>Direct non-renewable, by fuel type</t>
  </si>
  <si>
    <t>Diesel (Gasoline, Propane, Coal)</t>
  </si>
  <si>
    <t>Propane</t>
  </si>
  <si>
    <t>Heavy fuel oil</t>
  </si>
  <si>
    <t>Direct renewable, by fuel type</t>
  </si>
  <si>
    <t>Hydropower</t>
  </si>
  <si>
    <t>Wind</t>
  </si>
  <si>
    <t>Solar</t>
  </si>
  <si>
    <t>Biodiesel</t>
  </si>
  <si>
    <t>Total indirect energy consumed</t>
  </si>
  <si>
    <t>Grid electricity from renewable sources</t>
  </si>
  <si>
    <t>Grid electricity from non-renewable sources</t>
  </si>
  <si>
    <t>Note:
(1) The data was calculated using IPCC Methodology for Nicaragua and AirSci emission workbook for Pan.</t>
  </si>
  <si>
    <r>
      <rPr>
        <b/>
        <sz val="10"/>
        <color theme="1"/>
        <rFont val="Aptos Narrow"/>
        <family val="2"/>
        <scheme val="minor"/>
      </rPr>
      <t>Energy Intensity</t>
    </r>
    <r>
      <rPr>
        <i/>
        <sz val="10"/>
        <color theme="5"/>
        <rFont val="Aptos Narrow"/>
        <family val="2"/>
        <scheme val="minor"/>
      </rPr>
      <t xml:space="preserve">
</t>
    </r>
    <r>
      <rPr>
        <i/>
        <sz val="10"/>
        <color rgb="FFC19F00"/>
        <rFont val="Aptos Narrow"/>
        <family val="2"/>
        <scheme val="minor"/>
      </rPr>
      <t>(GRI 302-3 (14.1.4))</t>
    </r>
  </si>
  <si>
    <t>Energy Intensity FY2024 (GJ / Au oz)</t>
  </si>
  <si>
    <t>Energy consumed (GJ)</t>
  </si>
  <si>
    <t>Gold produced (Oz Au)</t>
  </si>
  <si>
    <t>Energy Intensity (GJ / Au oz)</t>
  </si>
  <si>
    <r>
      <rPr>
        <b/>
        <sz val="10"/>
        <color theme="1"/>
        <rFont val="Aptos Narrow"/>
        <family val="2"/>
        <scheme val="minor"/>
      </rPr>
      <t>Scope 1 GHG Emissions</t>
    </r>
    <r>
      <rPr>
        <i/>
        <sz val="10"/>
        <color theme="5"/>
        <rFont val="Aptos Narrow"/>
        <family val="2"/>
        <scheme val="minor"/>
      </rPr>
      <t xml:space="preserve">
</t>
    </r>
    <r>
      <rPr>
        <i/>
        <sz val="10"/>
        <color rgb="FFC19F00"/>
        <rFont val="Aptos Narrow"/>
        <family val="2"/>
        <scheme val="minor"/>
      </rPr>
      <t>(GRI 305-1 (14.1.5); &amp; SASB EM-MM-110a.1)</t>
    </r>
  </si>
  <si>
    <t>Direct (Scope 1) GHG Emissions FY2024 (tCO2-e)(1)</t>
  </si>
  <si>
    <t xml:space="preserve">Direct (Scope 1) </t>
  </si>
  <si>
    <t xml:space="preserve">Note:
(1) Gross global Scope 1 greenhouse gas (GHG) emissions to the atmosphere include the seven GHGs covered under the Kyoto Protocol—carbon dioxide (CO2), methane (CH4), nitrous oxide (N2O), hydrofluorocarbons (HFCs), perfluorocarbons (PFCs), sulfur hexafluoride (SF6), and nitrogen trifluoride (NF3). </t>
  </si>
  <si>
    <r>
      <rPr>
        <b/>
        <sz val="10"/>
        <color theme="1"/>
        <rFont val="Aptos Narrow"/>
        <family val="2"/>
        <scheme val="minor"/>
      </rPr>
      <t>Scope 2 GHG Emissions</t>
    </r>
    <r>
      <rPr>
        <i/>
        <sz val="10"/>
        <color theme="5"/>
        <rFont val="Aptos Narrow"/>
        <family val="2"/>
        <scheme val="minor"/>
      </rPr>
      <t xml:space="preserve">
</t>
    </r>
    <r>
      <rPr>
        <i/>
        <sz val="10"/>
        <color rgb="FFC19F00"/>
        <rFont val="Aptos Narrow"/>
        <family val="2"/>
        <scheme val="minor"/>
      </rPr>
      <t>(GRI 305-2 (14.1.6))</t>
    </r>
  </si>
  <si>
    <t>Energy indirect (Scope 2) GHG Emissions FY2024 (tCO2-e)(1)</t>
  </si>
  <si>
    <t>Gross location-based</t>
  </si>
  <si>
    <t xml:space="preserve">Market-based </t>
  </si>
  <si>
    <t>Note: 
(1) US EPA Greenhouse Gases Equivalencies Calculator &amp; IEA Emissions Factors used for calculations.</t>
  </si>
  <si>
    <r>
      <rPr>
        <b/>
        <sz val="10"/>
        <color theme="1"/>
        <rFont val="Aptos Narrow"/>
        <family val="2"/>
        <scheme val="minor"/>
      </rPr>
      <t>Total GHG Emissions &amp; Intensity Rate</t>
    </r>
    <r>
      <rPr>
        <i/>
        <sz val="10"/>
        <color theme="5"/>
        <rFont val="Aptos Narrow"/>
        <family val="2"/>
        <scheme val="minor"/>
      </rPr>
      <t xml:space="preserve">
</t>
    </r>
    <r>
      <rPr>
        <i/>
        <sz val="10"/>
        <color rgb="FFC19F00"/>
        <rFont val="Aptos Narrow"/>
        <family val="2"/>
        <scheme val="minor"/>
      </rPr>
      <t>(GRI 305-4 (14.1.8) &amp; SDG 13.2.2)</t>
    </r>
  </si>
  <si>
    <t>GHG Emissions Intensity FY2024 (tCO2-e / Au oz)</t>
  </si>
  <si>
    <t>GHG Emissions (Scope 1 &amp; Market-based Scope2) (tCO2-e)</t>
  </si>
  <si>
    <t>GHG Emissions Intensity (tCO2-e / Au oz)</t>
  </si>
  <si>
    <r>
      <t xml:space="preserve">Significant Air Emissions
</t>
    </r>
    <r>
      <rPr>
        <i/>
        <sz val="10"/>
        <color rgb="FFC19F00"/>
        <rFont val="Aptos Narrow"/>
        <family val="2"/>
        <scheme val="minor"/>
      </rPr>
      <t>(GRI 305-7 (14.3.2); &amp; SASB EM-MM-120a.1)</t>
    </r>
  </si>
  <si>
    <t>Significant Air Emissions (t)(1)</t>
  </si>
  <si>
    <t>La Libertad Complex(2)</t>
  </si>
  <si>
    <t>CO</t>
  </si>
  <si>
    <t>Data under construction</t>
  </si>
  <si>
    <r>
      <t>CO</t>
    </r>
    <r>
      <rPr>
        <vertAlign val="subscript"/>
        <sz val="10"/>
        <color rgb="FF002E5D"/>
        <rFont val="Aptos Narrow"/>
        <family val="2"/>
      </rPr>
      <t>2</t>
    </r>
  </si>
  <si>
    <r>
      <t>H</t>
    </r>
    <r>
      <rPr>
        <vertAlign val="subscript"/>
        <sz val="10"/>
        <color rgb="FF002E5D"/>
        <rFont val="Aptos Narrow"/>
        <family val="2"/>
      </rPr>
      <t>2</t>
    </r>
    <r>
      <rPr>
        <sz val="10"/>
        <color rgb="FF002E5D"/>
        <rFont val="Aptos Narrow"/>
        <family val="2"/>
      </rPr>
      <t>S</t>
    </r>
  </si>
  <si>
    <t>HCHO</t>
  </si>
  <si>
    <t>HCN</t>
  </si>
  <si>
    <t>ND</t>
  </si>
  <si>
    <t>Hg</t>
  </si>
  <si>
    <r>
      <t>NO</t>
    </r>
    <r>
      <rPr>
        <vertAlign val="subscript"/>
        <sz val="10"/>
        <color rgb="FF002E5D"/>
        <rFont val="Aptos Narrow"/>
        <family val="2"/>
      </rPr>
      <t>2</t>
    </r>
  </si>
  <si>
    <r>
      <t>NO</t>
    </r>
    <r>
      <rPr>
        <vertAlign val="subscript"/>
        <sz val="10"/>
        <color rgb="FF002E5D"/>
        <rFont val="Aptos Narrow"/>
        <family val="2"/>
      </rPr>
      <t>x</t>
    </r>
  </si>
  <si>
    <t xml:space="preserve">144.1	</t>
  </si>
  <si>
    <r>
      <t>O</t>
    </r>
    <r>
      <rPr>
        <vertAlign val="subscript"/>
        <sz val="10"/>
        <color rgb="FF002E5D"/>
        <rFont val="Aptos Narrow"/>
        <family val="2"/>
      </rPr>
      <t>2</t>
    </r>
  </si>
  <si>
    <r>
      <t>O</t>
    </r>
    <r>
      <rPr>
        <vertAlign val="subscript"/>
        <sz val="10"/>
        <color rgb="FF002E5D"/>
        <rFont val="Aptos Narrow"/>
        <family val="2"/>
      </rPr>
      <t>3</t>
    </r>
  </si>
  <si>
    <t>Pb</t>
  </si>
  <si>
    <r>
      <t>PM</t>
    </r>
    <r>
      <rPr>
        <vertAlign val="subscript"/>
        <sz val="10"/>
        <color rgb="FF002E5D"/>
        <rFont val="Aptos Narrow"/>
        <family val="2"/>
      </rPr>
      <t>10</t>
    </r>
  </si>
  <si>
    <r>
      <t>SO</t>
    </r>
    <r>
      <rPr>
        <vertAlign val="subscript"/>
        <sz val="10"/>
        <color rgb="FF002E5D"/>
        <rFont val="Aptos Narrow"/>
        <family val="2"/>
      </rPr>
      <t>2</t>
    </r>
  </si>
  <si>
    <r>
      <t>SO</t>
    </r>
    <r>
      <rPr>
        <vertAlign val="subscript"/>
        <sz val="10"/>
        <color rgb="FF002E5D"/>
        <rFont val="Aptos Narrow"/>
        <family val="2"/>
      </rPr>
      <t>x</t>
    </r>
  </si>
  <si>
    <t>VOCs</t>
  </si>
  <si>
    <t>Note: 
(1) To calculate emissions, the IPCC methodology was used; the data was collected by the warehouse at each site that records diesel and electricity consumption.
(2) Data obtained from samples taken from the Adsorption, Desorption and Recovery (ADR) Plant.</t>
  </si>
  <si>
    <t>Labor Rights</t>
  </si>
  <si>
    <t>Total number of employees, percentage contractors</t>
  </si>
  <si>
    <t>Workers who are not employees</t>
  </si>
  <si>
    <t>Parental leave</t>
  </si>
  <si>
    <r>
      <t xml:space="preserve">Total number of employees, percentage contractors
</t>
    </r>
    <r>
      <rPr>
        <i/>
        <sz val="10"/>
        <color rgb="FFC19F00"/>
        <rFont val="Aptos Narrow"/>
        <family val="2"/>
        <scheme val="minor"/>
      </rPr>
      <t>(SASB EM-MM-000.B)</t>
    </r>
  </si>
  <si>
    <t>Workforce FY2024</t>
  </si>
  <si>
    <t>Number</t>
  </si>
  <si>
    <t>Percentage</t>
  </si>
  <si>
    <t>Total</t>
  </si>
  <si>
    <t>Direct (employees)</t>
  </si>
  <si>
    <t>Indirect (Contractors)</t>
  </si>
  <si>
    <t>By Gender</t>
  </si>
  <si>
    <t>By Region</t>
  </si>
  <si>
    <r>
      <t xml:space="preserve">Employees
</t>
    </r>
    <r>
      <rPr>
        <i/>
        <sz val="10"/>
        <color rgb="FFC19F00"/>
        <rFont val="Aptos Narrow"/>
        <family val="2"/>
        <scheme val="minor"/>
      </rPr>
      <t>(GRI 2-7)</t>
    </r>
  </si>
  <si>
    <t>Number of Employees FY2024 (Head-count)(1)</t>
  </si>
  <si>
    <t>Male</t>
  </si>
  <si>
    <t>Female</t>
  </si>
  <si>
    <t>National, local(2)</t>
  </si>
  <si>
    <t>National, non-local(3)</t>
  </si>
  <si>
    <t>Total National(4)</t>
  </si>
  <si>
    <t>Foreign</t>
  </si>
  <si>
    <t>Permanent employees</t>
  </si>
  <si>
    <t>Temporary employees</t>
  </si>
  <si>
    <t>Non-guaranteed hours employees</t>
  </si>
  <si>
    <t xml:space="preserve">Full-time employees </t>
  </si>
  <si>
    <t>Part-time employees</t>
  </si>
  <si>
    <t>Notes:
(1) Employee numbers reported at the end of the reporting period. Does not include the Valentine Gold Mine nor Corporate Offices. 
(2) “National, local” refers to people, workers and suppliers from the local community (e.g., communities surrounding operations) including those individuals either born or who have the legal right to reside indefinitely (such as naturalized citizens or permanent visa holders) in the same geographic market as the mining operation. 
(3)“National, non-local” refers to people, workers and suppliers from the country where the mine is located but not necessarily from local communities.
(4)“National” refers to people, workers and suppliers from the country where the mine is located (both local and non-local).</t>
  </si>
  <si>
    <r>
      <t xml:space="preserve">Workers who are not employees
</t>
    </r>
    <r>
      <rPr>
        <i/>
        <sz val="10"/>
        <color rgb="FFC19F00"/>
        <rFont val="Aptos Narrow"/>
        <family val="2"/>
        <scheme val="minor"/>
      </rPr>
      <t>(GRI 2-8)</t>
    </r>
  </si>
  <si>
    <t>Workers Who are Not Employees FY2024</t>
  </si>
  <si>
    <t>Most common types of worker and contractual relationship</t>
  </si>
  <si>
    <t xml:space="preserve">Contractor workers primarily include mine equipment operators, truck drivers, geologists, drillers, and technicians. </t>
  </si>
  <si>
    <t>Type of work performed</t>
  </si>
  <si>
    <t>Contractors in Nicaragua primarily handle mine operations, ore hauling, and equipment maintenance. Outsourced services include physical security, cooking, and cleaning. At the Pan Mine, contract geologists and exploration drillers conduct mapping, sampling, and drilling. Earthwork contractors operate heavy machinery like dozers, graders, and water trucks.</t>
  </si>
  <si>
    <t>Methodologies and assumptions</t>
  </si>
  <si>
    <t>Number reported in head count, at the end of the reporting period</t>
  </si>
  <si>
    <t>Significant fluctuations</t>
  </si>
  <si>
    <t>No significant fluctuations in the number of workers who are not employees during the reporting period or between reporting periods.</t>
  </si>
  <si>
    <t>By Age Group</t>
  </si>
  <si>
    <r>
      <t xml:space="preserve">Diversity of Employees
</t>
    </r>
    <r>
      <rPr>
        <i/>
        <sz val="10"/>
        <color rgb="FFC19F00"/>
        <rFont val="Aptos Narrow"/>
        <family val="2"/>
        <scheme val="minor"/>
      </rPr>
      <t>(GRI 405-1 (14.21.5))</t>
    </r>
    <r>
      <rPr>
        <b/>
        <sz val="10"/>
        <color theme="1"/>
        <rFont val="Aptos Narrow"/>
        <family val="2"/>
        <scheme val="minor"/>
      </rPr>
      <t xml:space="preserve">
</t>
    </r>
  </si>
  <si>
    <t>Employees per Category by Diversity Category FY2024 (%)</t>
  </si>
  <si>
    <t>&lt; 30</t>
  </si>
  <si>
    <t>30 to 50</t>
  </si>
  <si>
    <t>&gt;50</t>
  </si>
  <si>
    <t>Total employees</t>
  </si>
  <si>
    <t>Vice-Presidents</t>
  </si>
  <si>
    <t>Senior-Managers</t>
  </si>
  <si>
    <t>Managers</t>
  </si>
  <si>
    <t>Superintendents and Heads of Areas</t>
  </si>
  <si>
    <t>Non-Management</t>
  </si>
  <si>
    <t>Note:
(1) Does not include the Valentine Gold Mine nor Corporate Offices. Information on Governance Bodies’ diversity can be found in G01. Corp. Gov. &amp; Bus. Ethics</t>
  </si>
  <si>
    <r>
      <t xml:space="preserve">Ratio of Basic Salary and Remuneration of Women to Men
</t>
    </r>
    <r>
      <rPr>
        <i/>
        <sz val="10"/>
        <color rgb="FFC19F00"/>
        <rFont val="Aptos Narrow"/>
        <family val="2"/>
        <scheme val="minor"/>
      </rPr>
      <t>(GRI 405-2 (14.21.6))</t>
    </r>
  </si>
  <si>
    <t>Ratio of Basic Salary and Remuneration of Women to Men by Employee Category FY2024</t>
  </si>
  <si>
    <t>Vice-Presidents(1)</t>
  </si>
  <si>
    <t>Note: 
(1)  Does not include the Valentine Gold Mine nor Corporate Offices. No female held a role within this employee category.</t>
  </si>
  <si>
    <r>
      <t xml:space="preserve">New Employee Hires and Employee Turnover
</t>
    </r>
    <r>
      <rPr>
        <i/>
        <sz val="10"/>
        <color rgb="FFC19F00"/>
        <rFont val="Aptos Narrow"/>
        <family val="2"/>
        <scheme val="minor"/>
      </rPr>
      <t>(GRI 401-1 (14.17.3))</t>
    </r>
  </si>
  <si>
    <t>New Employee Hires and Employee Turnover FY2024</t>
  </si>
  <si>
    <t>Total Number</t>
  </si>
  <si>
    <t>Rate</t>
  </si>
  <si>
    <t>Total new employee hires</t>
  </si>
  <si>
    <t>By age group</t>
  </si>
  <si>
    <t>&lt; 30 y/o</t>
  </si>
  <si>
    <t>30-50 y/o</t>
  </si>
  <si>
    <t>&gt;50 y/o</t>
  </si>
  <si>
    <t>By gender</t>
  </si>
  <si>
    <t>By region</t>
  </si>
  <si>
    <t>National, local</t>
  </si>
  <si>
    <t>National, non-local</t>
  </si>
  <si>
    <t>Total turnover</t>
  </si>
  <si>
    <r>
      <t xml:space="preserve">Parental leave
</t>
    </r>
    <r>
      <rPr>
        <i/>
        <sz val="10"/>
        <color rgb="FFC19F00"/>
        <rFont val="Aptos Narrow"/>
        <family val="2"/>
        <scheme val="minor"/>
      </rPr>
      <t>(GRI 401-3 (14.21.3))</t>
    </r>
  </si>
  <si>
    <t>Parental Leave FY2024</t>
  </si>
  <si>
    <t>Employees that were entitled to parental leave</t>
  </si>
  <si>
    <t>Employees that took parental leave</t>
  </si>
  <si>
    <t>Employees that returned to work in the reporting period after parental leave ended</t>
  </si>
  <si>
    <t>Employees that returned to work after parental leave ended that were still employed 12 months after their return to work</t>
  </si>
  <si>
    <t>Return to work rate</t>
  </si>
  <si>
    <t>Retention rate</t>
  </si>
  <si>
    <t>Health and Safety</t>
  </si>
  <si>
    <t>Work-Related Ill Health</t>
  </si>
  <si>
    <r>
      <rPr>
        <b/>
        <sz val="10"/>
        <color theme="1"/>
        <rFont val="Aptos Narrow"/>
        <family val="2"/>
        <scheme val="minor"/>
      </rPr>
      <t>Work-Related Injuries</t>
    </r>
    <r>
      <rPr>
        <i/>
        <sz val="10"/>
        <color theme="5"/>
        <rFont val="Aptos Narrow"/>
        <family val="2"/>
        <scheme val="minor"/>
      </rPr>
      <t xml:space="preserve">
</t>
    </r>
    <r>
      <rPr>
        <i/>
        <sz val="10"/>
        <color rgb="FFC19F00"/>
        <rFont val="Aptos Narrow"/>
        <family val="2"/>
        <scheme val="minor"/>
      </rPr>
      <t>(GRI 403-9 (14.16.10); &amp; SASB EM-MM-320a.1)</t>
    </r>
  </si>
  <si>
    <t>Work-Related Injuries FY2024</t>
  </si>
  <si>
    <t>Number of fatalities as a result of work-related injury(1)</t>
  </si>
  <si>
    <t>Rate of fatalities as a result of work-related injury(2)</t>
  </si>
  <si>
    <t>Number of high-consequence(3) work-related injuries (excluding fatalities)</t>
  </si>
  <si>
    <t>Rate of high-consequence work-related injuries (excluding fatalities)(2)</t>
  </si>
  <si>
    <t>Number of recordable(4) work-related injuries</t>
  </si>
  <si>
    <t>Rate of recordable work-related injuries(2)</t>
  </si>
  <si>
    <t>Main types of work-related injury</t>
  </si>
  <si>
    <t>Fractures, wounds.</t>
  </si>
  <si>
    <t>Sprains</t>
  </si>
  <si>
    <t>Not applicable.</t>
  </si>
  <si>
    <t>Number of hours worked</t>
  </si>
  <si>
    <t>Contractor workers</t>
  </si>
  <si>
    <t>Fractures, entrapment, wounds, sprains/strains</t>
  </si>
  <si>
    <t>Sprains/Strains</t>
  </si>
  <si>
    <t>Notes:
(1) Work-related injury defined as negative impacts on health arising from exposure to hazards at work.
(2) Rates have been calculated based on 200,000 hours worked.
(3) High-consequence work-related injuries refer to a work-related injury that results in a fatality or in an injury from which the worker cannot, does not, or is not expected to recover fully to pre-injury health status within six months.
(4) Recordable work-related injuries refer to work-related injury or ill health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t>
  </si>
  <si>
    <r>
      <rPr>
        <b/>
        <sz val="10"/>
        <color theme="1"/>
        <rFont val="Aptos Narrow"/>
        <family val="2"/>
        <scheme val="minor"/>
      </rPr>
      <t>Work-related Hazards that Pose a Risk of High-Consequence Injury</t>
    </r>
    <r>
      <rPr>
        <sz val="10"/>
        <color theme="1"/>
        <rFont val="Aptos Narrow"/>
        <family val="2"/>
        <scheme val="minor"/>
      </rPr>
      <t xml:space="preserve">
Calibre identifies and addresses high-consequence injury risks, including falls from height, heavy machinery incidents, explosives and blasting hazards, ground instability, chemical exposure, heat stress, confined spaces, electrical hazards, ergonomic issues, and noise-induced hearing loss. These risks are managed through comprehensive safety programs, rigorous training, and continuous monitoring to ensure worker protection.  Hazard identification and risk analysis determine work-related risks, with annual workshops conducted at each site using Calibre’s risk matrix. Improvement plans are implemented and evaluated quarterly by senior management. During the reporting period, no high-consequence injuries occurred.  
To eliminate and minimize hazards, Calibre applies the hierarchy of controls—prioritizing elimination, substitution, engineering controls, administrative measures, and PPE. The Company's OHS Performance Standards integrate risk assessments, safe work procedures, and ongoing training and monitoring. Calibre fosters a proactive safety culture through its 'Safety Journey' model, which advances annually via structured work plans and leadership engagement, ensuring continuous improvement in hazard management.</t>
    </r>
  </si>
  <si>
    <r>
      <rPr>
        <b/>
        <sz val="10"/>
        <color theme="1"/>
        <rFont val="Aptos Narrow"/>
        <family val="2"/>
        <scheme val="minor"/>
      </rPr>
      <t>Work-Related Ill Health</t>
    </r>
    <r>
      <rPr>
        <i/>
        <sz val="10"/>
        <color theme="5"/>
        <rFont val="Aptos Narrow"/>
        <family val="2"/>
        <scheme val="minor"/>
      </rPr>
      <t xml:space="preserve">
</t>
    </r>
    <r>
      <rPr>
        <i/>
        <sz val="10"/>
        <color rgb="FFC19F00"/>
        <rFont val="Aptos Narrow"/>
        <family val="2"/>
        <scheme val="minor"/>
      </rPr>
      <t>(GRI 403-10 (14.16.11))</t>
    </r>
  </si>
  <si>
    <t>Work-Related Ill Health(1)</t>
  </si>
  <si>
    <t>Number of fatalities as a result of work-related ill health</t>
  </si>
  <si>
    <t>Number of cases of recordable work-related ill health</t>
  </si>
  <si>
    <t>Main types of work-related ill health</t>
  </si>
  <si>
    <t>Musculoskeletal</t>
  </si>
  <si>
    <t>Musculoskeletal, Auditory</t>
  </si>
  <si>
    <t>Exposure to chemical</t>
  </si>
  <si>
    <t>Contractor Workers</t>
  </si>
  <si>
    <t>Data unavailable.</t>
  </si>
  <si>
    <t xml:space="preserve">Exposure to chemical. </t>
  </si>
  <si>
    <t>Note:
(1) ) A recordable work-related ill health is a work-related ill health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t>
  </si>
  <si>
    <r>
      <rPr>
        <b/>
        <sz val="10"/>
        <color theme="1"/>
        <rFont val="Aptos Narrow"/>
        <family val="2"/>
        <scheme val="minor"/>
      </rPr>
      <t xml:space="preserve">Work-related Hazards that Pose a Risk of Ill Health
</t>
    </r>
    <r>
      <rPr>
        <sz val="10"/>
        <color theme="1"/>
        <rFont val="Aptos Narrow"/>
        <family val="2"/>
        <scheme val="minor"/>
      </rPr>
      <t xml:space="preserve">Calibre identifies and mitigates work-related hazards that pose a risk of ill health through rigorous monitoring and control measures. Key hazards include exposure to hazardous chemicals such as cyanide, prolonged noise exposure, dust inhalation leading to respiratory issues, heat stress, ergonomic hazards causing musculoskeletal disorders, and risks associated with confined spaces, including asphyxiation and exposure to toxic gases. Addressing these risks through comprehensive safety training, strict safety protocols, and continuous monitoring is essential to safeguarding workers' health.
Work-related health hazards are identified through industry data analysis, incident reports, safety audits, and sector trends. Sites conduct industrial hygiene evaluations and regular worker health examinations, allowing for risk monitoring, barrier implementation, and targeted actions based on the hierarchy of controls. Findings are documented in the Risk Registry to ensure systematic risk management.
During the reporting period, work-related hazards such as noise exposure, manual handling of loads, and repetitive motion contributed to cases of ill health. To mitigate these risks, Calibre has implemented engineering controls, including machinery insulation and remote equipment operation. All corrective measures are documented in the Risk Registry following comprehensive risk assessments, ensuring hazards are effectively managed through a structured hierarchy of controls.
</t>
    </r>
  </si>
  <si>
    <t>Topic/Applicable Disclosures:</t>
  </si>
  <si>
    <t>Rights of Communities and Indigenous Peoples</t>
  </si>
  <si>
    <t>Operations with local community engagement, impact assessments, and development programs</t>
  </si>
  <si>
    <t>Significant Actual and Potential Negative Impacts on Local Communities</t>
  </si>
  <si>
    <r>
      <t xml:space="preserve">Operations with local community engagement, impact assessments, and development programs
</t>
    </r>
    <r>
      <rPr>
        <i/>
        <sz val="10"/>
        <color rgb="FFC19F00"/>
        <rFont val="Aptos Narrow"/>
        <family val="2"/>
        <scheme val="minor"/>
      </rPr>
      <t>(GRI 413-01 (14.10.2))</t>
    </r>
  </si>
  <si>
    <t>Percentage of operations FY2024 (%)</t>
  </si>
  <si>
    <t xml:space="preserve">Operations with implemented local community engagement, impact assessments, and/or development programs, including the use of: social impact assessments, including gender impact assessments, based on participatory processes?(1)
</t>
  </si>
  <si>
    <t>Operations with implemented environmental impact assessments and ongoing monitoring?</t>
  </si>
  <si>
    <t>Operations publicly discloses results of environmental and social impact assessments?</t>
  </si>
  <si>
    <t>Operations with local community development programs based on local communities’ needs?</t>
  </si>
  <si>
    <t>Formal community development agreements made by the organization by mine site.</t>
  </si>
  <si>
    <t>Five agreements signed in 2024:
(1) El Limon Complex &gt; Community development agreement under implementation with the Mayor's Office of Larreynaga to (i) support the local development plan, and (ii) finalize improvements and expansion the El Limon town water system.
(3) La Libertad Complex &gt; Community development agreement in place with the Mayor's Office of La Libertad, to (i) complete the improvement of the drinking water system of the La Libertad Town and (ii) donate select material for community road improvements. 
(4) La Libertad Complex &gt; Community development agreement in place with the Mayor's Office of Santo Domingo to donate select material for community road improvements. 
(5) La Libertad Complex &gt; Community development agreement in place with the Mayor's Office of Rosita to (i) improve state of rural roads, and (ii) finance feasibility and design studies for a drinking water system at Riscos de Oro, the host community for the Eastern Borosi Mine, both projects based on the local community development plan.</t>
  </si>
  <si>
    <t>Operations with stakeholder engagement plans based on stakeholder mapping?</t>
  </si>
  <si>
    <t>Operations with broad based local community consultation committees and processes that include vulnerable groups?</t>
  </si>
  <si>
    <t>Operations with works councils, occupational health and safety committees and other worker representation bodies in place to deal with impacts?</t>
  </si>
  <si>
    <t>Operations with formal local community grievance processes in place?(2)</t>
  </si>
  <si>
    <t>Notes:
(1) Assessments conducted as part of the ESIAs for every new project or major change in ongoing projects as per national and/or federal legislation.
(2) For Pan, government mechamism MSHA was identified as the most accepted mechanism for raising community concerns relating mine operations.</t>
  </si>
  <si>
    <r>
      <rPr>
        <b/>
        <sz val="10"/>
        <color theme="1"/>
        <rFont val="Aptos Narrow"/>
        <family val="2"/>
        <scheme val="minor"/>
      </rPr>
      <t>Significant Actual and Potential Negative Impacts on Local Communities</t>
    </r>
    <r>
      <rPr>
        <i/>
        <sz val="10"/>
        <color theme="5"/>
        <rFont val="Aptos Narrow"/>
        <family val="2"/>
        <scheme val="minor"/>
      </rPr>
      <t xml:space="preserve">
</t>
    </r>
    <r>
      <rPr>
        <i/>
        <sz val="10"/>
        <color rgb="FFC19F00"/>
        <rFont val="Aptos Narrow"/>
        <family val="2"/>
        <scheme val="minor"/>
      </rPr>
      <t>(GRI 413-2 (14.10.3))</t>
    </r>
  </si>
  <si>
    <t>Significant Actual and Potential Negative Impacts on Local Communities FY2024</t>
  </si>
  <si>
    <t>Larreynaga; Nicaragua</t>
  </si>
  <si>
    <t>La Libertad, Santo Domingo, Rosita; Nicaragua</t>
  </si>
  <si>
    <t>Nevada; United States</t>
  </si>
  <si>
    <t>Top significant actual and potential negative impacts</t>
  </si>
  <si>
    <t>- Contractor behaviour and performance
- Changes in economic dynamics or damage to local livelihoods
- Forced displacement
- Landscape changes or loss of wildlife</t>
  </si>
  <si>
    <t>- Contractor behaviour and performance
-  Changes in economic dynamics or damage to local livelihoods
- Landscape changes or loss of wildlife
- Abuses by security forces 
- Triggering of social conflicts due to competition over land use or natural resources</t>
  </si>
  <si>
    <t>- Air pollution
- Loss of wildlife
- Damage to cultural resources
- Water pollution
- Violations of Indigenous Peoples' rights</t>
  </si>
  <si>
    <t>Actual and negative impacts on the health and safety of local communities</t>
  </si>
  <si>
    <t>- Exposure to pollution, hazardous substances and dust
- Contamination or loss of access to groundwater and surface water
- Road and traffic incidents due to ore haulage
- Increased level of light, noise, and vibration resulting from blasting and transportation 
- Community fatalities and serious injuries due to critical incidents such as explosions, fires, mine collapses or landslides, spills, and tailings facility failures</t>
  </si>
  <si>
    <t>- Exposure to pollution, hazardous substances and dust
- Sedimentation, contamination or loss of access to groundwater and surface water
- Road and traffic incidents due to ore haulage
- Increased level of light, noise, and vibration resulting from blasting and transportation 
- Community fatalities and serious injuries due to critical incidents such as explosions, fires, mine collapses or landslides, spills, and tailings facility failures</t>
  </si>
  <si>
    <t>- Exposure to air or water pollution</t>
  </si>
  <si>
    <r>
      <rPr>
        <b/>
        <sz val="10"/>
        <color theme="1"/>
        <rFont val="Aptos Narrow"/>
        <family val="2"/>
        <scheme val="minor"/>
      </rPr>
      <t>Community Grievances</t>
    </r>
    <r>
      <rPr>
        <i/>
        <sz val="10"/>
        <color theme="5"/>
        <rFont val="Aptos Narrow"/>
        <family val="2"/>
        <scheme val="minor"/>
      </rPr>
      <t xml:space="preserve">
</t>
    </r>
    <r>
      <rPr>
        <i/>
        <sz val="10"/>
        <color rgb="FFC19F00"/>
        <rFont val="Aptos Narrow"/>
        <family val="2"/>
        <scheme val="minor"/>
      </rPr>
      <t>(GRI 14.10.4)</t>
    </r>
  </si>
  <si>
    <t>Grievances from Local Communities</t>
  </si>
  <si>
    <t>Grievances Received FY2024 (#)</t>
  </si>
  <si>
    <t>Types of Grievances Received</t>
  </si>
  <si>
    <t xml:space="preserve"> 45% related to risks to community health and safety due to hot waters, subsidence and others, 22% related to effects from blasting and 22% to dust.</t>
  </si>
  <si>
    <t xml:space="preserve"> 62% related to effects from blasting, 18% to contractor behavior.</t>
  </si>
  <si>
    <t>Grievances Addressed and Resolved (%)</t>
  </si>
  <si>
    <t>Grievances Resolved through Remediation(1) (%)</t>
  </si>
  <si>
    <t>Note:
(1) Remediation defined by GRI Mining Sector Standard as "means to counteract or make good a negative impact or provision of remedy. Examples include : apologies, financial or non-financial compensation, prevention of harm through injunctions or guarantees of non-repetition, punitive sanctions (whether criminal or administrative, such as fines), restitution, restoration, rehabilitation".</t>
  </si>
  <si>
    <t>Topic Applicable Disclosures:</t>
  </si>
  <si>
    <t>Land and Resource Rights</t>
  </si>
  <si>
    <r>
      <rPr>
        <b/>
        <sz val="10"/>
        <color theme="1"/>
        <rFont val="Aptos Narrow"/>
        <family val="2"/>
        <scheme val="minor"/>
      </rPr>
      <t>Mine Sites where Involuntary Resettlement is Planned, Ongoing, or has Taken Place</t>
    </r>
    <r>
      <rPr>
        <i/>
        <sz val="10"/>
        <color theme="5"/>
        <rFont val="Aptos Narrow"/>
        <family val="2"/>
        <scheme val="minor"/>
      </rPr>
      <t xml:space="preserve">
</t>
    </r>
    <r>
      <rPr>
        <i/>
        <sz val="10"/>
        <color rgb="FFC19F00"/>
        <rFont val="Aptos Narrow"/>
        <family val="2"/>
        <scheme val="minor"/>
      </rPr>
      <t>(GRI 14.12.2)</t>
    </r>
  </si>
  <si>
    <t>Involuntary Resettlement FY2024</t>
  </si>
  <si>
    <t>Mine site where involuntary resettlement is planned, ongoing or has taken place</t>
  </si>
  <si>
    <t>Persons who have been or will be displaced (#)</t>
  </si>
  <si>
    <t>Male (#)</t>
  </si>
  <si>
    <t>Female (#)</t>
  </si>
  <si>
    <t>Children/Youth (#)</t>
  </si>
  <si>
    <t>Potential or actual impacts to peoples' livelihood and human rights</t>
  </si>
  <si>
    <t>The resettlement plan impacts livelihoods by displacing families and disrupting economic activities. Human rights are affected by the loss of homes and land.</t>
  </si>
  <si>
    <t>Restoration mechanisms in place</t>
  </si>
  <si>
    <t>Compensation Framework includes the provision of developed land, new housing under adequate standards, access to basic services, and financial support for vulnerable people to ensure better living conditions and sustainable livelihoods.</t>
  </si>
  <si>
    <r>
      <t xml:space="preserve">Proportion of Bodies of Water with Good Ambient Water Quality
</t>
    </r>
    <r>
      <rPr>
        <i/>
        <sz val="10"/>
        <color rgb="FFC19F00"/>
        <rFont val="Aptos Narrow"/>
        <family val="2"/>
        <scheme val="minor"/>
      </rPr>
      <t>(SDG 6.3.2)</t>
    </r>
  </si>
  <si>
    <t>Water pollution avoided due to ASM Ore Purchase Program(1)</t>
  </si>
  <si>
    <t>Total FY2024</t>
  </si>
  <si>
    <t>Ore Purchase (t)</t>
  </si>
  <si>
    <t>Hg (t) avoided</t>
  </si>
  <si>
    <t>H2O (cubic meters) safely treated and discharged to the environment:</t>
  </si>
  <si>
    <r>
      <rPr>
        <b/>
        <sz val="9"/>
        <color theme="1"/>
        <rFont val="Aptos Narrow"/>
        <family val="2"/>
        <scheme val="minor"/>
      </rPr>
      <t xml:space="preserve">Note: </t>
    </r>
    <r>
      <rPr>
        <sz val="9"/>
        <color theme="1"/>
        <rFont val="Aptos Narrow"/>
        <family val="2"/>
        <scheme val="minor"/>
      </rPr>
      <t xml:space="preserve">
(1) A 2016 study from the Artisanal Gold Council on the Use and Release of Mercury by ASM in Nicaragua estimated that approximately 3.5oz of mercury are used per metric ton of ore processed in artisanal mills, and that a minimum average throughput of ~1 L/minute, or ~3600 L of water per day (4.32m3/metric ton) are used by rastras in Chontales, the district where La Libertad Mine is located.</t>
    </r>
  </si>
  <si>
    <t>Proportion of bodies of water with good ambient water quality:</t>
  </si>
  <si>
    <t>Positive contribution to 2 out of 21 basins in Nicaragua (e.g. 10%)</t>
  </si>
  <si>
    <t>Socio-Economic Contributions</t>
  </si>
  <si>
    <r>
      <rPr>
        <i/>
        <sz val="10"/>
        <color theme="1"/>
        <rFont val="Aptos Narrow"/>
        <family val="2"/>
        <scheme val="minor"/>
      </rPr>
      <t>Note</t>
    </r>
    <r>
      <rPr>
        <sz val="10"/>
        <color theme="1"/>
        <rFont val="Aptos Narrow"/>
        <family val="2"/>
        <scheme val="minor"/>
      </rPr>
      <t>: Disclosure 14.9.4 omitted as data is unavailable.</t>
    </r>
  </si>
  <si>
    <t>Significant Indirect Economic Impacts</t>
  </si>
  <si>
    <t>Workers Hired from the Local Community</t>
  </si>
  <si>
    <t xml:space="preserve">Senior Management Hired from the Local Community </t>
  </si>
  <si>
    <r>
      <rPr>
        <b/>
        <sz val="10"/>
        <color theme="1"/>
        <rFont val="Aptos Narrow"/>
        <family val="2"/>
        <scheme val="minor"/>
      </rPr>
      <t>Direct Economic Value Generated and Distributed</t>
    </r>
    <r>
      <rPr>
        <i/>
        <sz val="10"/>
        <color theme="5"/>
        <rFont val="Aptos Narrow"/>
        <family val="2"/>
        <scheme val="minor"/>
      </rPr>
      <t xml:space="preserve">
</t>
    </r>
    <r>
      <rPr>
        <i/>
        <sz val="10"/>
        <color rgb="FFC19F00"/>
        <rFont val="Aptos Narrow"/>
        <family val="2"/>
        <scheme val="minor"/>
      </rPr>
      <t>(GRI 201-1 (14.9.2)(14.23.2))</t>
    </r>
  </si>
  <si>
    <t>Direct Economic Value Generated and Distributed FY2024 ($US Millions)</t>
  </si>
  <si>
    <t>Nicaragua</t>
  </si>
  <si>
    <t>Nevada</t>
  </si>
  <si>
    <t>Valentine Mine</t>
  </si>
  <si>
    <t>Exploration</t>
  </si>
  <si>
    <t>Head Office</t>
  </si>
  <si>
    <t>Direct economic value generated(1)</t>
  </si>
  <si>
    <t>Economic value distributed</t>
  </si>
  <si>
    <t>Operating costs (2)</t>
  </si>
  <si>
    <t>Capital expenditures (3)</t>
  </si>
  <si>
    <t>Employee wages and benefits (4)</t>
  </si>
  <si>
    <t>Payments to providers of capital (5)</t>
  </si>
  <si>
    <t>Taxes (6)</t>
  </si>
  <si>
    <t>Community investments (7)</t>
  </si>
  <si>
    <t>Economic value retained (8)</t>
  </si>
  <si>
    <t xml:space="preserve">Notes:
Definitions have been refined to better reflect Calibre's circumstances.
(1) Gold and silver revenue.
(2) Production costs less employee wages and benefits and community investments for Nicaragua and Nevada, and excludes Valentine Mine as it was still under construction at December 31, 2024.
(3) Growth and sustaining capital expenditures, including exploration expenditures at development and exploration stage projects.
(4) Total payroll (including employee salaries and amounts paid to government institutions on behalf of employees) plus total benefits (excluding trading, costs of protective equipment or other cost items directly related to the employee's job function).
(5) Interest expense for equipment loans and leases, interest payments based on the terms of Calibre's long-term debt agreement and interest payments for gold prepayment arrangements.
(6) Production taxes, royalties and current income tax expense. It excludes deferred taxes, as they may not be paid.
(7) Voluntary donations plus investment of funds in the broader community where the target beneficiaries are external to the organization.  Community investments exclude any infrastructure investment that is driven primarily by core business needs, or to facilitate the business operations of the organization.
(8) Direct economic value generated’ less ‘economic value distributed’. </t>
  </si>
  <si>
    <r>
      <rPr>
        <b/>
        <sz val="10"/>
        <color theme="1"/>
        <rFont val="Aptos Narrow"/>
        <family val="2"/>
        <scheme val="minor"/>
      </rPr>
      <t>Infrastructure Investments and Services Supported</t>
    </r>
    <r>
      <rPr>
        <i/>
        <sz val="10"/>
        <color theme="5"/>
        <rFont val="Aptos Narrow"/>
        <family val="2"/>
        <scheme val="minor"/>
      </rPr>
      <t xml:space="preserve">
</t>
    </r>
    <r>
      <rPr>
        <i/>
        <sz val="10"/>
        <color rgb="FFC19F00"/>
        <rFont val="Aptos Narrow"/>
        <family val="2"/>
        <scheme val="minor"/>
      </rPr>
      <t>(GRI 203-1 (14.9.3))</t>
    </r>
  </si>
  <si>
    <t>Infrastructure Investments and Services Supported FY2024</t>
  </si>
  <si>
    <t>Type</t>
  </si>
  <si>
    <t>Cost (USD$)</t>
  </si>
  <si>
    <t>Beneficiaries (#)</t>
  </si>
  <si>
    <t>Expected Impacts</t>
  </si>
  <si>
    <t>Community Needs Assessment Conducted?</t>
  </si>
  <si>
    <t>Electricity subsidy for the El Limon Town</t>
  </si>
  <si>
    <t>Mina El Limon, Larreynaga, Leon</t>
  </si>
  <si>
    <t xml:space="preserve">Commercial </t>
  </si>
  <si>
    <t>1.6 M</t>
  </si>
  <si>
    <t>~7,500</t>
  </si>
  <si>
    <t>Ensuring access to reliable electricity can significantly enhance economic growth, improve education and healthcare services, reduce poverty, and promote sustainable development, aligning with SDG targets for affordable and clean energy, quality education, and good health and well-being.</t>
  </si>
  <si>
    <t>No, legacy social commitment with the Mina El Limon community</t>
  </si>
  <si>
    <t xml:space="preserve">Improvements in the drinking water system and guaranteed operation of water pumps to ensure reliable access to water </t>
  </si>
  <si>
    <t>1 M</t>
  </si>
  <si>
    <t xml:space="preserve"> Universal and equitable access to safe and affordable drinking water fuels public health, food production and poverty reduction, at the same time as reducing, aligning with SDG targets for clean water and sanitation, health, and well-being.</t>
  </si>
  <si>
    <t>Yes, needs assessment and baseline studies prepared in collaboration between the Municipal Government and the Nicaraguan Water and Sewer Company.</t>
  </si>
  <si>
    <t>Rehabilitation of 2.4km of town streets and community roads</t>
  </si>
  <si>
    <t>542 K</t>
  </si>
  <si>
    <t>Rehabilitating town streets and community roads in rural Nicaragua can significantly enhance economic opportunities through easier access to markets, increase connectivity while reducing transportation costs, improve access to education and healthcare,  and promote social inclusion, aligning with SDG targets for sustainable cities and communities, decent work and economic growth, and reduced inequalities.</t>
  </si>
  <si>
    <t>Yes, based on needs assessment conducted by the Larreynaga Municipality and list of local priority projects for 2024.</t>
  </si>
  <si>
    <t>Support to national anti-epidemic campaign</t>
  </si>
  <si>
    <t>Mina El Limon and neighboring rural communities, Larreynaga, Leon</t>
  </si>
  <si>
    <t>5 K</t>
  </si>
  <si>
    <t>~9,000</t>
  </si>
  <si>
    <t>Anti-epidemic campaigns can significantly reduce the incidence of mosquito-borne diseases like dengue, improve public health, enhance community well-being, and boost economic productivity by reducing healthcare costs and absenteeism, aligning with SDG targets for good health and well-being, and sustainable cities and communities.</t>
  </si>
  <si>
    <t>Yes, assessment and investment approval in consensus with the Municipal governments and the Ministry of Health.</t>
  </si>
  <si>
    <t>Infrastructure improvement of 7 public schools and two specialized centers for children with disabilities</t>
  </si>
  <si>
    <t>La Libertad &amp; Santo Domingo, Chontales; and Riscos de Oro , Rosita, RACCN</t>
  </si>
  <si>
    <t>10 K</t>
  </si>
  <si>
    <t>1,590</t>
  </si>
  <si>
    <t>Rehabilitating public school infrastructure can significantly enhance educational outcomes, reduce inequalities, promote lifelong learning opportunities and conditions for vulnerable children, and foster community resilience through education. This initiative supports SDG 4 (Quality Education) and SDG 10 (Reduced Inequalities) by fostering safe, accessible, and adaptive learning environments.</t>
  </si>
  <si>
    <t>Yes, assessment and investment approval in consensus with the Municipal governments and the Ministry of Education</t>
  </si>
  <si>
    <t>Repairs to 28.4km community roads</t>
  </si>
  <si>
    <t>La Libertad &amp; Santo Domingo, Chontales; and Riscos de Oro-Wasminona-Okonwas-Barrio Pobre-California, Rosita</t>
  </si>
  <si>
    <t xml:space="preserve">Commercial &amp; In-Kind </t>
  </si>
  <si>
    <t>242 K</t>
  </si>
  <si>
    <t xml:space="preserve"> ~6,993</t>
  </si>
  <si>
    <t>Rehabilitating / improving community roads in rural Nicaragua can significantly enhance economic opportunities through easier access to markets, increase connectivity while reducing transportation costs, improve access to education and healthcare,  and promote social inclusion. This initiative aligns with SDG 9 (Industry, Innovation, and Infrastructure), SDG 11 (Sustainable Cities and Communities), and SDG 13 (Climate Action) by fostering rural development and strengthening community connectivity.</t>
  </si>
  <si>
    <t>Yes, project either requested by the Municipalities and/or identified as part of the local development plan.</t>
  </si>
  <si>
    <t xml:space="preserve">Water access for the Town of Santo Domingo </t>
  </si>
  <si>
    <t>Santo Domingo, Chontales</t>
  </si>
  <si>
    <t xml:space="preserve">In-Kind </t>
  </si>
  <si>
    <t>~6,201</t>
  </si>
  <si>
    <t xml:space="preserve">During dry season, Calibre delivers ~400gl/min of water from our Jabali Central flooded pit to cover the water deficit from local streams. Universal and equitable access to safe and affordable drinking water fuels better hygiene and public health, food production and poverty reduction. This initiative supports SDG 6 (Clean Water and Sanitation) and SDG 3 (Good Health and Well-being). </t>
  </si>
  <si>
    <t>Yes, based on annual local government and institutions' requests.</t>
  </si>
  <si>
    <t>Drinking Water System in communities of Riscos de Oro, Barrio Pobre, La California and Pueblo Santo - El Black.</t>
  </si>
  <si>
    <t>Riscos de Oro, Rosita, RACCN</t>
  </si>
  <si>
    <t>189 K</t>
  </si>
  <si>
    <t>~2,203</t>
  </si>
  <si>
    <t>Water has been explicitly recognized as a human right. Universal and equitable access to safe and affordable drinking water fuels public health, food production and poverty reduction, at the same time as reducing expenditure on health and lessening impacts on school attendance and productivity as people are less likely to fall ill and incur medical costs. This initiative supports SDG 6 (Clean Water and Sanitation) and SDG 3 (Good Health and Well-being).</t>
  </si>
  <si>
    <t>Yes, project identified as part of the Community Infrastructure component of the Riscos de Oro Development Plan developed in 2022 by community members and approved by the Rosita Municipal Council and supported by regional government institutions.</t>
  </si>
  <si>
    <t>Rehabilitation of the Riscos de Oro Maternity Home</t>
  </si>
  <si>
    <t>23 K</t>
  </si>
  <si>
    <t>~4,600 women from 23 communities</t>
  </si>
  <si>
    <t>Maternity Homes are part of national health strategy for providing care to pregnant women at high obstetric risk who live in remote communities without opportunities for institutionalized childbirth care. Rehabilitating the Riscos de Oro Maternity Home is expected to significantly improve maternal and child health, reduce maternal and neonatal risks, enhance access to quality healthcare, and promote gender equality. This initiative supports SDG 3 (Good Health and Well-being) and SDG 5 (Gender Equality).</t>
  </si>
  <si>
    <t>La Libertad &amp; Santo Domingo, Chontales</t>
  </si>
  <si>
    <t>7 K</t>
  </si>
  <si>
    <t>~25,000</t>
  </si>
  <si>
    <t>Anti-epidemic campaigns can significantly reduce the incidence of mosquito-borne diseases like dengue, improve public health, enhance community well-being, and boost economic productivity by reducing healthcare costs and absenteeism. This initiative aligns with SDG 3 (Good Health and Well-being) by enhancing disease prevention, promoting sanitation and hygiene, and protecting vulnerable populations from outbreaks.</t>
  </si>
  <si>
    <r>
      <rPr>
        <b/>
        <sz val="10"/>
        <color theme="1"/>
        <rFont val="Aptos Narrow"/>
        <family val="2"/>
        <scheme val="minor"/>
      </rPr>
      <t>Significant Indirect Economic Impacts</t>
    </r>
    <r>
      <rPr>
        <i/>
        <sz val="10"/>
        <color theme="5"/>
        <rFont val="Aptos Narrow"/>
        <family val="2"/>
        <scheme val="minor"/>
      </rPr>
      <t xml:space="preserve">
</t>
    </r>
    <r>
      <rPr>
        <i/>
        <sz val="10"/>
        <color rgb="FFC19F00"/>
        <rFont val="Aptos Narrow"/>
        <family val="2"/>
        <scheme val="minor"/>
      </rPr>
      <t>(GRI 203-2)</t>
    </r>
  </si>
  <si>
    <t>Calibre's operations have spurred economic development particularly in Nicaragua, by enabling foreign direct investment, prioritizing national purchasing and creating jobs, enhancing the national workforce's skills both through extensive internal training:</t>
  </si>
  <si>
    <t>Workforce</t>
  </si>
  <si>
    <t>Calibre employees (1,064) represented 18% of the total formalized workforce in mining and quarries for 2024 (5,851). Average monthly salary in the mining sector (C$ 21,102.8) is second highest in the country, surpassed only by the financial sector (C$21,449.3); the only two average salaries capable of fully covering the basic basket of goods of 53 products for 2024 (C$20,259.81). Calibre’s average wage in Nicaragua for 2024 (C$ 50,192.90) is 138% higher than the average wage in the mining sector, and 282% higher than the average national salary (C$13,152.5), allocating $40M in employee wages and benefits for the reporting period. 95% of our employees (1,012) are Nicaraguan nationals, of whom 81% (833) are from local communities adjacent to or near our operations. According to the WGC , “every job in the gold mining industry supports six more, or close to ten more if induced jobs are included”. Therefore, Calibre's presence is thought to have generated ~6,060 induced jobs in the Nicaraguan economy.</t>
  </si>
  <si>
    <t>Suppliers &amp; Contractors</t>
  </si>
  <si>
    <t xml:space="preserve">In terms of procurement, Calibre spent $217M in national procurement (82% of total spent), and supported an additional 2,757 contractor jobs. </t>
  </si>
  <si>
    <t>Communities</t>
  </si>
  <si>
    <t xml:space="preserve">To promote skills development and alternative livelihoods to mining in communities neighboring our operations, the Eastern Borosi Mine partnered with the National Technical Institute (INATEC) and the Rosita Mayor’s Office to implement a skills-building program, including an entrepreneurship course for 17 young locals, benefiting over 145 individuals to date. In 2024, Calibre also partnered with the regional university URACCAN to establish a campus at Riscos de Oro, offering two university programs with 37 students currently enrolled. In total, Calibre invested $4 M in community development in Nicaragua for 2024. </t>
  </si>
  <si>
    <t>Foreign Direct Investment</t>
  </si>
  <si>
    <t xml:space="preserve">Calibre contributed US$ 59.40M to national FDI (6% of Nicaragua’s total FDI of US$ 1,054.1M in 2024).  </t>
  </si>
  <si>
    <t>Sector Development</t>
  </si>
  <si>
    <t xml:space="preserve">In terms of sector development, both Calibre and gold remained Nicaragua's #1 exporter and #1 export product for the 5th consecutive year (USD$1,354M, followed by $756M from beef, exclusive of FTZs). </t>
  </si>
  <si>
    <t>National Economy</t>
  </si>
  <si>
    <t>In 2024, Calibre was responsible for approximately 36% of Nicaragua’s gold export revenues (US$ 490.9 million of a total US$ 1.35 billion), equivalent to ~2.5% of the country’s GDP (US$ 19.7 billion).</t>
  </si>
  <si>
    <t>Human Development</t>
  </si>
  <si>
    <t>Calibre's operations generate significant indirect economic impacts in Nicaragua, aligning with global development benchmarks such as the UN Sustainable Development Goals (SDGs 8 and 9). By driving FDI, creating high-paying jobs, fostering workforce development, and prioritizing local procurement, Calibre enhances economic resilience and sectoral growth. The Company's role in the gold industry, Nicaragua’s top export sector, strengthens national revenue streams, while its commitment to education, skills-building, and community investment supports long-term socio-economic stability, reinforcing national policies on employment, industrial growth, and inclusive economic development.</t>
  </si>
  <si>
    <t>Note:
(1) All macroeconomic data for Nicaragua based on statistics from the Nicaraguan Central Bank available at https://www.bcn.gob.ni/estadisticas</t>
  </si>
  <si>
    <r>
      <rPr>
        <b/>
        <sz val="10"/>
        <color theme="1"/>
        <rFont val="Aptos Narrow"/>
        <family val="2"/>
        <scheme val="minor"/>
      </rPr>
      <t>Proportion of Spending on Local Suppliers</t>
    </r>
    <r>
      <rPr>
        <i/>
        <sz val="10"/>
        <color theme="5"/>
        <rFont val="Aptos Narrow"/>
        <family val="2"/>
        <scheme val="minor"/>
      </rPr>
      <t xml:space="preserve">
</t>
    </r>
    <r>
      <rPr>
        <i/>
        <sz val="10"/>
        <color rgb="FFC19F00"/>
        <rFont val="Aptos Narrow"/>
        <family val="2"/>
        <scheme val="minor"/>
      </rPr>
      <t>(GRI 204-1 (14.9.5))</t>
    </r>
  </si>
  <si>
    <t>Proportion of Spending on Local(1) Suppliers FY2024</t>
  </si>
  <si>
    <t>National, Local</t>
  </si>
  <si>
    <t>National, Non-local</t>
  </si>
  <si>
    <t xml:space="preserve">Note:
(1) Throughout the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 For the case of suppliers, “National, local” refers to suppliers from the region (e.g. 'State' for the case of the U.S. and 'Department' for the case of Nicaragua) where operations are based. </t>
  </si>
  <si>
    <r>
      <rPr>
        <b/>
        <sz val="10"/>
        <color theme="1"/>
        <rFont val="Aptos Narrow"/>
        <family val="2"/>
        <scheme val="minor"/>
      </rPr>
      <t>Workers Hired from the Local Community</t>
    </r>
    <r>
      <rPr>
        <i/>
        <sz val="10"/>
        <color theme="5"/>
        <rFont val="Aptos Narrow"/>
        <family val="2"/>
        <scheme val="minor"/>
      </rPr>
      <t xml:space="preserve">
</t>
    </r>
    <r>
      <rPr>
        <i/>
        <sz val="10"/>
        <color rgb="FFC19F00"/>
        <rFont val="Aptos Narrow"/>
        <family val="2"/>
        <scheme val="minor"/>
      </rPr>
      <t>(GRI 14.9.6)</t>
    </r>
  </si>
  <si>
    <t>Proportion of Workers Hired from the Local(1) Community FY2024</t>
  </si>
  <si>
    <t xml:space="preserve">Male </t>
  </si>
  <si>
    <t>Note:
(1) Throughout the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operations.“National, local” refers to people, suppliers and workers from communities surrounding operations. “National, non-local” refers to people, workers and suppliers based/registered in the country where the mine is located, but not necessarily from communities surrounding operations.</t>
  </si>
  <si>
    <r>
      <t xml:space="preserve">Senior Management Hired from the Local Community 
</t>
    </r>
    <r>
      <rPr>
        <i/>
        <sz val="10"/>
        <color rgb="FFC19F00"/>
        <rFont val="Aptos Narrow"/>
        <family val="2"/>
        <scheme val="minor"/>
      </rPr>
      <t>(GRI 202-2 (14.21.2))</t>
    </r>
  </si>
  <si>
    <t>Senior Management Hired from the Local Community (%)(1)</t>
  </si>
  <si>
    <t>Proportion of local Vice-Presidents and Senior Managers</t>
  </si>
  <si>
    <t>Note:
(1) As per GRI Disclosure 202-2 Guidance, "Senior management hired from the local community includes those individuals either born or who have the legal right to reside indefinitely (such as naturalized citizens or permanent visa holders) in the same geographic market as the mining operation. The geographical definition of ‘local’ can include the community surrounding operations, a region within a country, or a country".</t>
  </si>
  <si>
    <t>Corporate Governance and Business Ethics</t>
  </si>
  <si>
    <r>
      <t xml:space="preserve">Diversity of Governance Bodies
</t>
    </r>
    <r>
      <rPr>
        <i/>
        <sz val="10"/>
        <color rgb="FFC19F00"/>
        <rFont val="Aptos Narrow"/>
        <family val="2"/>
        <scheme val="minor"/>
      </rPr>
      <t>(GRI 405-1 (14.21.5))</t>
    </r>
  </si>
  <si>
    <t>Diversity of Governance Bodies FY2024 (%)</t>
  </si>
  <si>
    <t>Board of Directors</t>
  </si>
  <si>
    <t>Executive Leadership Team</t>
  </si>
  <si>
    <t xml:space="preserve">&gt; 50  </t>
  </si>
  <si>
    <r>
      <t xml:space="preserve">Compliance with Laws and Regulations
</t>
    </r>
    <r>
      <rPr>
        <i/>
        <sz val="10"/>
        <color rgb="FFC19F00"/>
        <rFont val="Aptos Narrow"/>
        <family val="2"/>
        <scheme val="minor"/>
      </rPr>
      <t>(GRI 02-27)</t>
    </r>
  </si>
  <si>
    <t>Compliance with Laws and Regulations FY2024</t>
  </si>
  <si>
    <t>Total Calibre</t>
  </si>
  <si>
    <t>Total number of significant instances of non-compliance with laws and regulations during the reporting period</t>
  </si>
  <si>
    <t>Number of significant instances of non-compliance with laws and regulations for which fines were incurred during the reporting period</t>
  </si>
  <si>
    <t>Number of significant instances of non-compliance with laws and regulations for which non-monetary sanctions were incurred during the reporting period</t>
  </si>
  <si>
    <t>Total monetary value of fines for instances of non-compliance with laws and regulations that were paid during the reporting period</t>
  </si>
  <si>
    <t>Total number of fines for instances of non-compliance with laws and regulations that were paid during the reporting period</t>
  </si>
  <si>
    <t>Monetary value of fines paid during the reporting period for instances of non-compliance with laws and regulations that occurred in the current reporting period</t>
  </si>
  <si>
    <t>Number of fines paid during the reporting period for instances of non-compliance with laws and regulations that occurred in the current reporting period</t>
  </si>
  <si>
    <t>Monetary value of fines paid during the reporting period for instances of non-compliance with laws and regulations that occurred in previous reporting periods</t>
  </si>
  <si>
    <t>Number of fines paid during the reporting period for instances of non-compliance with laws and regulations that occurred in previous reporting periods</t>
  </si>
  <si>
    <t>Description of the significant instances of non-compliance</t>
  </si>
  <si>
    <t>Security Practices</t>
  </si>
  <si>
    <r>
      <t xml:space="preserve">Security Personnel Trained in Human Rights Policies or Procedures
</t>
    </r>
    <r>
      <rPr>
        <i/>
        <sz val="10"/>
        <color rgb="FFC19F00"/>
        <rFont val="Aptos Narrow"/>
        <family val="2"/>
        <scheme val="minor"/>
      </rPr>
      <t>(GRI 410-01 (14.14.2))</t>
    </r>
  </si>
  <si>
    <t>Security personnel in site (#)</t>
  </si>
  <si>
    <t>Security personnel trained during the reporting period (#)</t>
  </si>
  <si>
    <t>Proportion of security personnel trained FY2024 (%)</t>
  </si>
  <si>
    <t>Topic:</t>
  </si>
  <si>
    <t>Sustainability Scorecard</t>
  </si>
  <si>
    <t>Sustainability Scorecard FY2024-2025</t>
  </si>
  <si>
    <t>Sector</t>
  </si>
  <si>
    <t>Topic</t>
  </si>
  <si>
    <t>Site(s)</t>
  </si>
  <si>
    <t>Targets FY2024</t>
  </si>
  <si>
    <t>Status for YE2024</t>
  </si>
  <si>
    <t>2024 Performance</t>
  </si>
  <si>
    <t>Targets FY2025</t>
  </si>
  <si>
    <t>Environment &amp; Biodiversity Management</t>
  </si>
  <si>
    <t>Zero fines, sanctions or notices of violations for breaching environmental permits.</t>
  </si>
  <si>
    <t>Met.</t>
  </si>
  <si>
    <t>Zero fines, sanctions, or notices of violations received.</t>
  </si>
  <si>
    <t>Zero significant(1) environmental events.</t>
  </si>
  <si>
    <t>Not met.</t>
  </si>
  <si>
    <t>One significant environmental event reported at El Limon.</t>
  </si>
  <si>
    <t>Zero significant environmental events reported.</t>
  </si>
  <si>
    <t>Biodiversity No Net Loss Plans designed, and execution initiated at all sites.</t>
  </si>
  <si>
    <t>No sites with Biodiversity No Net Loss (NNL) plans designed and initiated; biodiversity strategy scope defined.</t>
  </si>
  <si>
    <t>Biodiversity strategy completed and No Net Loss Roadmap designed by YE.</t>
  </si>
  <si>
    <t>130,000 trees produced to support national reforestation campaign.</t>
  </si>
  <si>
    <t>Exceeded.</t>
  </si>
  <si>
    <t xml:space="preserve">164,355 trees produced </t>
  </si>
  <si>
    <t>*140,000 trees produced in Nicaragua.
*20 ha of habitats reclaimed.</t>
  </si>
  <si>
    <t>Data on air emissions collected for La Libertad and El Limon complexes.</t>
  </si>
  <si>
    <t>Partially met.</t>
  </si>
  <si>
    <t>Data on air emissions collected for La Libertad.</t>
  </si>
  <si>
    <t>5 acres of land reclaimed.</t>
  </si>
  <si>
    <t>7.62 acres of land reclaimed.</t>
  </si>
  <si>
    <t>8 acres at the Pan Mine and 18ha in Nicaragua of habitats reclaimed.</t>
  </si>
  <si>
    <t>Water &amp; Effluents</t>
  </si>
  <si>
    <t>Water discharged meets discharge criteria.</t>
  </si>
  <si>
    <t>One non-compliance incident related to industrial water discharge.</t>
  </si>
  <si>
    <t>Maintain zero discharge capacity in heap leach pad.</t>
  </si>
  <si>
    <t>Zero discharge capacity in Pan Mine's heap leach pad maintained.</t>
  </si>
  <si>
    <t>Waste &amp; Materials</t>
  </si>
  <si>
    <t>100% tailings safely disposed.</t>
  </si>
  <si>
    <t>99% of tailings disposal activities meeting rgulatory and internal standards.</t>
  </si>
  <si>
    <t>Maintain 37% recycled materials at Nicaraguan assets.</t>
  </si>
  <si>
    <t>Process 100% of recyclable metals (e.g., carbon fines).</t>
  </si>
  <si>
    <t>100% of carbon fines produced at the Pan Mine (e.g. 13.99t) were recycled.</t>
  </si>
  <si>
    <t>Recycle 100% of carbon fines at the Pan Mine.</t>
  </si>
  <si>
    <t>GHG Emissions</t>
  </si>
  <si>
    <t>Zero Scope 2 emissions maintained through completion of energy efficiency projects at El  Limon and La Libertad complexes.</t>
  </si>
  <si>
    <t>Zero Market-based Scope 2 emissions maintained at the El Limon and La Libertad complexes, energy efficiency projects under development.</t>
  </si>
  <si>
    <t>Zero Market-based Scope 2 emissions maintained at Nicaraguan sites.</t>
  </si>
  <si>
    <t>Initial Scope 1 emissions reduction alternatives identified.</t>
  </si>
  <si>
    <t xml:space="preserve">No initial Scope 1 emissions reduction alternatives identified; transition roadmap initiated. </t>
  </si>
  <si>
    <t>Scope 3 estimated for all assets.</t>
  </si>
  <si>
    <t>TCFD Assessment conducted and initial emissions reduction alternatives identified.</t>
  </si>
  <si>
    <t>TCFD Assessment conducted at the Pan Mine.</t>
  </si>
  <si>
    <t>Social</t>
  </si>
  <si>
    <t>Full compliance with collective bargaining agreements.</t>
  </si>
  <si>
    <t>Full compliance with collective bargaining agreements achieved.</t>
  </si>
  <si>
    <t>100% of scheduled collective bargaining negotiations completed in a timely manner.</t>
  </si>
  <si>
    <t>100% of collective negotiations completed in a timely manner.</t>
  </si>
  <si>
    <t>100% of requests for union membership or disaffiliation fulfilled.</t>
  </si>
  <si>
    <t>100% of requests for union membership or disaffiliation made, fulfilled.</t>
  </si>
  <si>
    <t>Divulgation and reinforcement of the corporate values ​​and strategic objectives of the Company.</t>
  </si>
  <si>
    <t>Comprehensive staff training plan successfully completed to reinforce Calibre's corporate values and strategic objectives at all Nicaraguan assets.</t>
  </si>
  <si>
    <t>Strategy, continuous improvement, training and development (career growth/succession planning), and alignment of desired employee behaviors with business objectives.</t>
  </si>
  <si>
    <t>*100% participation rate in critical courses imparted at the Pan Mine such as DEI as well as anti-harrassment. All other courses offered were above 90% for 2024. 
*Succession planning underway at Pan. 
*Goals and values tied to performance evaluations at Pan.</t>
  </si>
  <si>
    <t>*100% participation rate for mandatory courses and 85% for non-mandatory courses at the Pan Mine.
*100% compliance with the 2025 training plans for staff in Nicaragua.</t>
  </si>
  <si>
    <t>Health &amp; Safety</t>
  </si>
  <si>
    <t>90% of corrective actions completed and signed off by responsible manager for risk level 3, 4 &amp; 5 events (within 90 days of occurrence).</t>
  </si>
  <si>
    <t>88% of corrective actions completed and signed off by responsible manager for risk level 3, 4 &amp; 5 events (within 90 days of occurrence).</t>
  </si>
  <si>
    <t>90% of corrective actions for risk levels 3, 4, and 5 events are completed by the Responsible Manager (GM) as per the 3W Approved Action Plan, including internal and external audits.</t>
  </si>
  <si>
    <t>Zero Fatalities.</t>
  </si>
  <si>
    <t>Zero fatalities achieved.</t>
  </si>
  <si>
    <t>Zero fatalities.</t>
  </si>
  <si>
    <t>10% reduction in TRIFR (0.40) compared to 2023.</t>
  </si>
  <si>
    <t xml:space="preserve">TRIFR of 0.44 for Nicaragua, a 17% increase compared to 2023 (0.38). </t>
  </si>
  <si>
    <t>10% reduction from 2024 in Total Recordable Incident Frequency Rate (TRIFR: 0.45).</t>
  </si>
  <si>
    <t>Zero Lost Time Incidents.</t>
  </si>
  <si>
    <t>Zero Lost Time Incidents achieved for the third year in a row.</t>
  </si>
  <si>
    <t xml:space="preserve"> 5% reduction in TRIFR compared to 2022 (2.70).</t>
  </si>
  <si>
    <t>TRIFR of 0.46 at the Pan Mine; an  83% reduction in TRIFR compared to 2023 (2.70)</t>
  </si>
  <si>
    <t>5% reduction in TRIFR compared to 2024 (0.46).</t>
  </si>
  <si>
    <t>Rights of Communities &amp; Indigenous Peoples</t>
  </si>
  <si>
    <t>Zero significant community-related disputes.</t>
  </si>
  <si>
    <t>Zero significant community-related disputes reported.</t>
  </si>
  <si>
    <t>Projects on Indigenous Territories with evidence of FPIC.</t>
  </si>
  <si>
    <t>100% of projects on Indigenous territories have documented FPIC processes in place (e.g., evidence of regular engagement).</t>
  </si>
  <si>
    <t>All Projects on Indigenous Territories with evidence of FPIC.</t>
  </si>
  <si>
    <t>Community-related grievances resolved within 30 days.</t>
  </si>
  <si>
    <t>93% of community-related grievances closed by YE, within an average of 47 days.</t>
  </si>
  <si>
    <t>15% decrease in community-related grievances resolution time (40 days)compared to 2023 (47 days).</t>
  </si>
  <si>
    <t>Land &amp; Resource Rights</t>
  </si>
  <si>
    <t>Zero substantiated disputes / cases related to land negotiation or access (disputes defined as conflicts or violations of land and resource rights, including customary, collective, and informal tenure rights).</t>
  </si>
  <si>
    <t>Zero disputes or cases registered during the reporting period.</t>
  </si>
  <si>
    <t>Zero substantiated disputes or cases related to land negotiation or access.</t>
  </si>
  <si>
    <t>100% execution of Panteon North relocation process.</t>
  </si>
  <si>
    <t>83% execution of Panteon North relocation process.</t>
  </si>
  <si>
    <t>100% execution of Pozo Bono relocation process at the El Limon Complex.</t>
  </si>
  <si>
    <t>Artisanal &amp; Small-Scale Mining</t>
  </si>
  <si>
    <t>Self-assessment against the OECD Due Diligence Guidance for Responsible Supply Chains of Minerals from Conflict-Affected and High-Risk Areas initiated, gaps detected and remedial action plan under implementation.</t>
  </si>
  <si>
    <t>Assessment against the OECD Due Diligence Guidance completed, gaps detected and ASM Ore Purchase Management Plan and Processes developed and under implementation.</t>
  </si>
  <si>
    <t>Internal audit of year 1 of implementation of the ASM Ore Purchase Program conducted.</t>
  </si>
  <si>
    <t>Socioeconomic Contributions</t>
  </si>
  <si>
    <t>All legacy projects have been completed, and one flagship project per site has been formulated.</t>
  </si>
  <si>
    <t>&gt;90% completion of legacy projects, flagship community investments identified at all sites.</t>
  </si>
  <si>
    <t>&gt;90% of Community Investment Plan budget implemented in the year.</t>
  </si>
  <si>
    <t>One additional site with co-created Community Development Plans (CDP) in place.</t>
  </si>
  <si>
    <t xml:space="preserve">Community Development Agreements in place at El Limon an Eastern Borosi mines. </t>
  </si>
  <si>
    <t>One additional site (e.g. La Libertad) with a broader Community Development Agreements in place.</t>
  </si>
  <si>
    <t>5% increase in year on year proportion of local procurement and local employment over total procurement spent / workforce.</t>
  </si>
  <si>
    <t>Local employement remained at 78%, while local procurement saw an increase of 47%, from 7% in 2023 to 10% of total procurement spent.</t>
  </si>
  <si>
    <t>Increase in year on year proportion of local procurement over total procurement spent.</t>
  </si>
  <si>
    <t xml:space="preserve">Proportion of local procurement over total procurement spent of 27% vs 17% in 2023. </t>
  </si>
  <si>
    <t>Maintain 65% of local procurement over total procurement spent at the Pan Mine.</t>
  </si>
  <si>
    <t>Maintain a high percentage of local employees at Pan Mine.</t>
  </si>
  <si>
    <t>Proportion of national-local employees over total employees increased from 77% in 2023 to 80% in 2024.</t>
  </si>
  <si>
    <t>Maintain 80% of local employment over total workforce at the Pan Mine.</t>
  </si>
  <si>
    <t>Progress on programming of community development initiatives.</t>
  </si>
  <si>
    <t>Community development policy updated by Donations Committee.</t>
  </si>
  <si>
    <t>Zero substantiated incidents of corruption.</t>
  </si>
  <si>
    <t>Tax Transparency</t>
  </si>
  <si>
    <t>Ensure appropriateness of tax procedures and controls by means of guidance and advice from highly-ranked and reputable tax service providers.</t>
  </si>
  <si>
    <t>Tax filing obligations met within the regulatory trimeframes, supported by exteral tax advisors. Financial reporting included approrpriate recording of income taxes, tax provisions and deferred taxes balances and disclosures.</t>
  </si>
  <si>
    <t>Maintain working relationships with taxation professionals and agencies, and file all necessary returns in a complete and timely fashion.</t>
  </si>
  <si>
    <t>All returns and filings have been made on time with the appropriate taxation agency for year 2024 at the U.S.</t>
  </si>
  <si>
    <t>Responsible Procurement</t>
  </si>
  <si>
    <t>Annual due diligence screening conducted on active and potential suppliers, applying human rights criteria.</t>
  </si>
  <si>
    <t xml:space="preserve">Annual due diligence conducted on 1,494 active and potential suppliers, 100% using human rights criteria. </t>
  </si>
  <si>
    <t>Annual due diligence conducted at Nicaragua on active and potential suppliers using specific H&amp;S, Environmental &amp; Social criteria.</t>
  </si>
  <si>
    <t>Oversee vendor compliance with all US labor laws.</t>
  </si>
  <si>
    <t>One non-compliance issues identified and resolved at the Pan Mine.</t>
  </si>
  <si>
    <t>Zero supplier non-compliances with national labor laws.</t>
  </si>
  <si>
    <t xml:space="preserve">Security Practices &amp; Human Rights </t>
  </si>
  <si>
    <t>All operations</t>
  </si>
  <si>
    <t>Zero substantiated human rights concerns raised by communities.</t>
  </si>
  <si>
    <t>Zero substantiated human rights concerns raised by communities achieved.</t>
  </si>
  <si>
    <t>Zero substantiated human rights concerns reported by communities.</t>
  </si>
  <si>
    <t>Complete Calibre's first Conflict-Free Gold Report.</t>
  </si>
  <si>
    <t>Conflict Free Gold Report drafted, assurance readiness review completed, remedial action plan to close gaps underway.</t>
  </si>
  <si>
    <t>100% of security guards completing human rights-related training at least every two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</si>
</sst>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_-* #,##0.000_-;\-* #,##0.000_-;_-* &quot;-&quot;??_-;_-@_-"/>
    <numFmt numFmtId="166" formatCode="_-[$$-409]* #,##0_ ;_-[$$-409]* \-#,##0\ ;_-[$$-409]* &quot;-&quot;??_ ;_-@_ "/>
    <numFmt numFmtId="167" formatCode="_-[$$-409]* #,##0.00_ ;_-[$$-409]* \-#,##0.00\ ;_-[$$-409]* &quot;-&quot;??_ ;_-@_ "/>
    <numFmt numFmtId="168" formatCode="0.0000"/>
    <numFmt numFmtId="169" formatCode="0.0"/>
    <numFmt numFmtId="170" formatCode="#,##0.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0"/>
      <color theme="0"/>
      <name val="Aptos Narrow"/>
      <family val="2"/>
      <scheme val="minor"/>
    </font>
    <font>
      <b/>
      <sz val="10"/>
      <color theme="1"/>
      <name val="Aptos Narrow"/>
      <family val="2"/>
      <scheme val="minor"/>
    </font>
    <font>
      <b/>
      <sz val="12"/>
      <color theme="1"/>
      <name val="Aptos Narrow"/>
      <family val="2"/>
      <scheme val="minor"/>
    </font>
    <font>
      <i/>
      <sz val="10"/>
      <color theme="1"/>
      <name val="Aptos Narrow"/>
      <family val="2"/>
      <scheme val="minor"/>
    </font>
    <font>
      <b/>
      <sz val="14"/>
      <color theme="1"/>
      <name val="Aptos Narrow"/>
      <family val="2"/>
      <scheme val="minor"/>
    </font>
    <font>
      <i/>
      <sz val="10"/>
      <color theme="5"/>
      <name val="Aptos Narrow"/>
      <family val="2"/>
      <scheme val="minor"/>
    </font>
    <font>
      <b/>
      <i/>
      <sz val="10"/>
      <color theme="5"/>
      <name val="Aptos Narrow"/>
      <family val="2"/>
      <scheme val="minor"/>
    </font>
    <font>
      <b/>
      <sz val="16"/>
      <color theme="1"/>
      <name val="Aptos Narrow"/>
      <family val="2"/>
      <scheme val="minor"/>
    </font>
    <font>
      <sz val="10"/>
      <color theme="5"/>
      <name val="Aptos Narrow"/>
      <family val="2"/>
      <scheme val="minor"/>
    </font>
    <font>
      <sz val="8"/>
      <name val="Aptos Narrow"/>
      <family val="2"/>
      <scheme val="minor"/>
    </font>
    <font>
      <u/>
      <sz val="10"/>
      <color theme="10"/>
      <name val="Aptos Narrow"/>
      <family val="2"/>
      <scheme val="minor"/>
    </font>
    <font>
      <sz val="9"/>
      <color theme="5"/>
      <name val="Aptos Narrow"/>
      <family val="2"/>
      <scheme val="minor"/>
    </font>
    <font>
      <sz val="9"/>
      <color theme="1"/>
      <name val="Aptos Narrow"/>
      <family val="2"/>
      <scheme val="minor"/>
    </font>
    <font>
      <b/>
      <sz val="10"/>
      <color rgb="FF002E5D"/>
      <name val="Aptos Narrow"/>
      <family val="2"/>
      <scheme val="minor"/>
    </font>
    <font>
      <sz val="10"/>
      <color rgb="FF002E5D"/>
      <name val="Aptos Narrow"/>
      <family val="2"/>
      <scheme val="minor"/>
    </font>
    <font>
      <i/>
      <sz val="10"/>
      <color rgb="FF002E5D"/>
      <name val="Aptos Narrow"/>
      <family val="2"/>
      <scheme val="minor"/>
    </font>
    <font>
      <b/>
      <sz val="10"/>
      <color rgb="FFFFFFFF"/>
      <name val="Aptos Narrow"/>
      <family val="2"/>
      <scheme val="minor"/>
    </font>
    <font>
      <sz val="20"/>
      <color theme="8"/>
      <name val="Aptos Narrow"/>
      <family val="2"/>
      <scheme val="minor"/>
    </font>
    <font>
      <b/>
      <sz val="10"/>
      <color theme="8"/>
      <name val="Aptos Narrow"/>
      <family val="2"/>
      <scheme val="minor"/>
    </font>
    <font>
      <sz val="10"/>
      <color theme="0"/>
      <name val="Aptos Narrow"/>
      <family val="2"/>
      <scheme val="minor"/>
    </font>
    <font>
      <sz val="11"/>
      <color theme="5"/>
      <name val="Aptos Narrow"/>
      <family val="2"/>
      <scheme val="minor"/>
    </font>
    <font>
      <sz val="9"/>
      <color rgb="FF002E5D"/>
      <name val="Aptos Narrow"/>
      <family val="2"/>
      <scheme val="minor"/>
    </font>
    <font>
      <b/>
      <sz val="9"/>
      <color rgb="FF002E5D"/>
      <name val="Aptos Narrow"/>
      <family val="2"/>
      <scheme val="minor"/>
    </font>
    <font>
      <b/>
      <sz val="9"/>
      <color theme="1"/>
      <name val="Aptos Narrow"/>
      <family val="2"/>
      <scheme val="minor"/>
    </font>
    <font>
      <sz val="10"/>
      <name val="Aptos Narrow"/>
      <family val="2"/>
      <scheme val="minor"/>
    </font>
    <font>
      <b/>
      <sz val="10"/>
      <color rgb="FFFFFFFF"/>
      <name val="Aptos Narrow"/>
      <family val="2"/>
    </font>
    <font>
      <b/>
      <sz val="10"/>
      <color rgb="FF002E5D"/>
      <name val="Aptos Narrow"/>
      <family val="2"/>
    </font>
    <font>
      <sz val="10"/>
      <color rgb="FF002E5D"/>
      <name val="Aptos Narrow"/>
      <family val="2"/>
    </font>
    <font>
      <sz val="10"/>
      <color theme="0"/>
      <name val="Aptos Narrow"/>
      <family val="2"/>
    </font>
    <font>
      <sz val="10"/>
      <color theme="1"/>
      <name val="Aptos Narrow"/>
      <family val="2"/>
    </font>
    <font>
      <b/>
      <sz val="10"/>
      <color theme="0"/>
      <name val="Aptos Narrow"/>
      <family val="2"/>
    </font>
    <font>
      <b/>
      <sz val="35"/>
      <color theme="1"/>
      <name val="Aptos Narrow"/>
      <family val="2"/>
      <scheme val="minor"/>
    </font>
    <font>
      <b/>
      <sz val="15"/>
      <color theme="1"/>
      <name val="Aptos Narrow"/>
      <family val="2"/>
      <scheme val="minor"/>
    </font>
    <font>
      <sz val="10"/>
      <color theme="1"/>
      <name val="Aptos Display"/>
      <family val="2"/>
      <scheme val="major"/>
    </font>
    <font>
      <sz val="10"/>
      <color theme="5"/>
      <name val="Aptos Narrow"/>
      <family val="1"/>
      <charset val="2"/>
      <scheme val="minor"/>
    </font>
    <font>
      <i/>
      <sz val="9"/>
      <color theme="1"/>
      <name val="Aptos Narrow"/>
      <family val="2"/>
      <scheme val="minor"/>
    </font>
    <font>
      <b/>
      <sz val="10"/>
      <color rgb="FF001726"/>
      <name val="Aptos Narrow"/>
      <family val="2"/>
      <scheme val="minor"/>
    </font>
    <font>
      <sz val="10"/>
      <color rgb="FFFFFFFF"/>
      <name val="Aptos Narrow"/>
      <family val="2"/>
    </font>
    <font>
      <sz val="9"/>
      <color rgb="FF002E5D"/>
      <name val="Aptos Narrow"/>
      <family val="2"/>
    </font>
    <font>
      <vertAlign val="subscript"/>
      <sz val="10"/>
      <color rgb="FF002E5D"/>
      <name val="Aptos Narrow"/>
      <family val="2"/>
    </font>
    <font>
      <u/>
      <sz val="10"/>
      <color theme="10"/>
      <name val="Wingdings 3"/>
      <family val="1"/>
      <charset val="2"/>
    </font>
    <font>
      <u/>
      <sz val="10"/>
      <color theme="10"/>
      <name val="Aptos Narrow"/>
      <family val="1"/>
      <charset val="2"/>
      <scheme val="minor"/>
    </font>
    <font>
      <i/>
      <sz val="10"/>
      <color rgb="FFC19F00"/>
      <name val="Aptos Narrow"/>
      <family val="2"/>
      <scheme val="minor"/>
    </font>
  </fonts>
  <fills count="16">
    <fill>
      <patternFill patternType="none"/>
    </fill>
    <fill>
      <patternFill patternType="gray125"/>
    </fill>
    <fill>
      <patternFill patternType="solid">
        <fgColor theme="4"/>
      </patternFill>
    </fill>
    <fill>
      <patternFill patternType="solid">
        <fgColor theme="4"/>
        <bgColor theme="4"/>
      </patternFill>
    </fill>
    <fill>
      <patternFill patternType="solid">
        <fgColor rgb="FFFFFF00"/>
        <bgColor indexed="64"/>
      </patternFill>
    </fill>
    <fill>
      <patternFill patternType="solid">
        <fgColor theme="0"/>
        <bgColor indexed="64"/>
      </patternFill>
    </fill>
    <fill>
      <patternFill patternType="solid">
        <fgColor theme="1" tint="0.89999084444715716"/>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2E5D"/>
      </patternFill>
    </fill>
    <fill>
      <patternFill patternType="solid">
        <fgColor rgb="FF002E5D"/>
        <bgColor rgb="FF002E5D"/>
      </patternFill>
    </fill>
    <fill>
      <patternFill patternType="solid">
        <fgColor theme="1"/>
        <bgColor rgb="FF000000"/>
      </patternFill>
    </fill>
    <fill>
      <patternFill patternType="solid">
        <fgColor theme="1"/>
        <bgColor indexed="64"/>
      </patternFill>
    </fill>
    <fill>
      <patternFill patternType="solid">
        <fgColor theme="2"/>
        <bgColor indexed="64"/>
      </patternFill>
    </fill>
    <fill>
      <patternFill patternType="solid">
        <fgColor theme="6"/>
        <bgColor indexed="64"/>
      </patternFill>
    </fill>
    <fill>
      <patternFill patternType="solid">
        <fgColor theme="0" tint="-4.9989318521683403E-2"/>
        <bgColor indexed="64"/>
      </patternFill>
    </fill>
  </fills>
  <borders count="52">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4"/>
      </right>
      <top style="thin">
        <color theme="4"/>
      </top>
      <bottom/>
      <diagonal/>
    </border>
    <border>
      <left style="thin">
        <color rgb="FF002E5D"/>
      </left>
      <right/>
      <top/>
      <bottom/>
      <diagonal/>
    </border>
    <border>
      <left/>
      <right style="thin">
        <color rgb="FF002E5D"/>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left>
      <right/>
      <top/>
      <bottom/>
      <diagonal/>
    </border>
    <border>
      <left/>
      <right style="thin">
        <color theme="1"/>
      </right>
      <top/>
      <bottom/>
      <diagonal/>
    </border>
    <border>
      <left/>
      <right style="thin">
        <color theme="1"/>
      </right>
      <top/>
      <bottom style="thin">
        <color theme="1"/>
      </bottom>
      <diagonal/>
    </border>
    <border>
      <left style="thin">
        <color theme="1"/>
      </left>
      <right/>
      <top/>
      <bottom/>
      <diagonal/>
    </border>
    <border>
      <left style="thin">
        <color theme="1"/>
      </left>
      <right/>
      <top/>
      <bottom style="thin">
        <color theme="1"/>
      </bottom>
      <diagonal/>
    </border>
    <border>
      <left/>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rgb="FF002E5D"/>
      </left>
      <right/>
      <top style="thin">
        <color rgb="FF002E5D"/>
      </top>
      <bottom/>
      <diagonal/>
    </border>
    <border>
      <left/>
      <right/>
      <top style="thin">
        <color rgb="FF002E5D"/>
      </top>
      <bottom/>
      <diagonal/>
    </border>
    <border>
      <left/>
      <right style="thin">
        <color rgb="FF002E5D"/>
      </right>
      <top style="thin">
        <color rgb="FF002E5D"/>
      </top>
      <bottom/>
      <diagonal/>
    </border>
    <border>
      <left style="thin">
        <color rgb="FF002E5D"/>
      </left>
      <right/>
      <top style="thin">
        <color rgb="FF002E5D"/>
      </top>
      <bottom style="thin">
        <color rgb="FF002E5D"/>
      </bottom>
      <diagonal/>
    </border>
    <border>
      <left/>
      <right/>
      <top style="thin">
        <color rgb="FF002E5D"/>
      </top>
      <bottom style="thin">
        <color rgb="FF002E5D"/>
      </bottom>
      <diagonal/>
    </border>
    <border>
      <left/>
      <right style="thin">
        <color rgb="FF002E5D"/>
      </right>
      <top style="thin">
        <color rgb="FF002E5D"/>
      </top>
      <bottom style="thin">
        <color rgb="FF002E5D"/>
      </bottom>
      <diagonal/>
    </border>
    <border>
      <left style="thin">
        <color rgb="FF002E5D"/>
      </left>
      <right/>
      <top/>
      <bottom style="thin">
        <color rgb="FF002E5D"/>
      </bottom>
      <diagonal/>
    </border>
    <border>
      <left/>
      <right/>
      <top style="thin">
        <color theme="1"/>
      </top>
      <bottom style="thin">
        <color rgb="FF002E5D"/>
      </bottom>
      <diagonal/>
    </border>
    <border>
      <left/>
      <right style="thin">
        <color rgb="FF002E5D"/>
      </right>
      <top style="thin">
        <color theme="1"/>
      </top>
      <bottom/>
      <diagonal/>
    </border>
    <border>
      <left style="thin">
        <color rgb="FF002E5D"/>
      </left>
      <right/>
      <top style="thin">
        <color theme="1"/>
      </top>
      <bottom/>
      <diagonal/>
    </border>
    <border>
      <left/>
      <right/>
      <top style="thin">
        <color rgb="FF002E5D"/>
      </top>
      <bottom style="thin">
        <color theme="1"/>
      </bottom>
      <diagonal/>
    </border>
    <border>
      <left/>
      <right style="thin">
        <color theme="1"/>
      </right>
      <top style="thin">
        <color rgb="FF002E5D"/>
      </top>
      <bottom style="thin">
        <color theme="1"/>
      </bottom>
      <diagonal/>
    </border>
    <border>
      <left style="thin">
        <color rgb="FF002E5D"/>
      </left>
      <right/>
      <top style="thin">
        <color rgb="FF002E5D"/>
      </top>
      <bottom style="thin">
        <color theme="1"/>
      </bottom>
      <diagonal/>
    </border>
    <border>
      <left/>
      <right/>
      <top/>
      <bottom style="thin">
        <color rgb="FF002E5D"/>
      </bottom>
      <diagonal/>
    </border>
    <border>
      <left/>
      <right/>
      <top/>
      <bottom style="thin">
        <color rgb="FFC19F00"/>
      </bottom>
      <diagonal/>
    </border>
    <border>
      <left/>
      <right/>
      <top style="thin">
        <color rgb="FFC19F00"/>
      </top>
      <bottom style="thin">
        <color rgb="FFC19F00"/>
      </bottom>
      <diagonal/>
    </border>
    <border>
      <left style="thin">
        <color rgb="FFC19F00"/>
      </left>
      <right/>
      <top style="thin">
        <color rgb="FFC19F00"/>
      </top>
      <bottom/>
      <diagonal/>
    </border>
    <border>
      <left/>
      <right style="thin">
        <color rgb="FFC19F00"/>
      </right>
      <top style="thin">
        <color rgb="FFC19F00"/>
      </top>
      <bottom/>
      <diagonal/>
    </border>
    <border>
      <left style="thin">
        <color rgb="FFC19F00"/>
      </left>
      <right/>
      <top/>
      <bottom/>
      <diagonal/>
    </border>
    <border>
      <left/>
      <right style="thin">
        <color rgb="FFC19F00"/>
      </right>
      <top/>
      <bottom/>
      <diagonal/>
    </border>
    <border>
      <left style="thin">
        <color rgb="FFC19F00"/>
      </left>
      <right/>
      <top/>
      <bottom style="thin">
        <color rgb="FFC19F00"/>
      </bottom>
      <diagonal/>
    </border>
    <border>
      <left/>
      <right style="thin">
        <color rgb="FFC19F00"/>
      </right>
      <top/>
      <bottom style="thin">
        <color rgb="FFC19F00"/>
      </bottom>
      <diagonal/>
    </border>
    <border>
      <left/>
      <right/>
      <top style="thin">
        <color rgb="FFC19F00"/>
      </top>
      <bottom/>
      <diagonal/>
    </border>
    <border>
      <left style="thin">
        <color rgb="FFC19F00"/>
      </left>
      <right/>
      <top style="thin">
        <color rgb="FFC19F00"/>
      </top>
      <bottom style="thin">
        <color rgb="FFC19F00"/>
      </bottom>
      <diagonal/>
    </border>
    <border>
      <left/>
      <right style="thin">
        <color rgb="FFC19F00"/>
      </right>
      <top style="thin">
        <color rgb="FFC19F00"/>
      </top>
      <bottom style="thin">
        <color rgb="FFC19F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41">
    <xf numFmtId="0" fontId="0" fillId="0" borderId="0" xfId="0"/>
    <xf numFmtId="0" fontId="0" fillId="0" borderId="0" xfId="0" applyAlignment="1">
      <alignment horizontal="left" vertical="top" wrapText="1"/>
    </xf>
    <xf numFmtId="0" fontId="4" fillId="0" borderId="0" xfId="0" applyFont="1"/>
    <xf numFmtId="0" fontId="4" fillId="0" borderId="0" xfId="0" applyFont="1" applyAlignment="1">
      <alignment horizontal="left" vertical="top" wrapText="1"/>
    </xf>
    <xf numFmtId="0" fontId="6" fillId="0" borderId="0" xfId="0" applyFont="1"/>
    <xf numFmtId="0" fontId="6" fillId="0" borderId="0" xfId="0" applyFont="1" applyAlignment="1">
      <alignment vertical="top"/>
    </xf>
    <xf numFmtId="0" fontId="11"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indent="2"/>
    </xf>
    <xf numFmtId="0" fontId="4" fillId="0" borderId="0" xfId="0" applyFont="1" applyAlignment="1">
      <alignment vertical="top" wrapText="1"/>
    </xf>
    <xf numFmtId="0" fontId="6" fillId="0" borderId="0" xfId="0" applyFont="1" applyAlignment="1">
      <alignment horizontal="left" vertical="top" wrapText="1"/>
    </xf>
    <xf numFmtId="9" fontId="4" fillId="0" borderId="0" xfId="0" applyNumberFormat="1" applyFont="1" applyAlignment="1">
      <alignment horizontal="left" vertical="top" wrapText="1"/>
    </xf>
    <xf numFmtId="3" fontId="4" fillId="0" borderId="0" xfId="0" applyNumberFormat="1" applyFont="1" applyAlignment="1">
      <alignment horizontal="left" vertical="top" wrapText="1"/>
    </xf>
    <xf numFmtId="0" fontId="6" fillId="0" borderId="0" xfId="0" applyFont="1" applyAlignment="1">
      <alignment horizontal="left" vertical="top" wrapText="1" indent="1"/>
    </xf>
    <xf numFmtId="0" fontId="4" fillId="0" borderId="0" xfId="0" quotePrefix="1" applyFont="1" applyAlignment="1">
      <alignment horizontal="left" vertical="top" wrapText="1"/>
    </xf>
    <xf numFmtId="0" fontId="4" fillId="0" borderId="0" xfId="0" quotePrefix="1" applyFont="1" applyAlignment="1" applyProtection="1">
      <alignment horizontal="left" vertical="top" wrapText="1"/>
      <protection locked="0"/>
    </xf>
    <xf numFmtId="0" fontId="6" fillId="0" borderId="0" xfId="0" applyFont="1" applyAlignment="1">
      <alignment vertical="top" wrapText="1"/>
    </xf>
    <xf numFmtId="0" fontId="22" fillId="0" borderId="0" xfId="0" applyFont="1" applyAlignment="1">
      <alignment horizontal="left" wrapText="1"/>
    </xf>
    <xf numFmtId="0" fontId="17" fillId="0" borderId="0" xfId="0" applyFont="1"/>
    <xf numFmtId="0" fontId="23" fillId="5" borderId="0" xfId="3" applyFont="1" applyFill="1" applyBorder="1" applyAlignment="1">
      <alignment horizontal="left"/>
    </xf>
    <xf numFmtId="0" fontId="15" fillId="0" borderId="0" xfId="4"/>
    <xf numFmtId="0" fontId="24" fillId="0" borderId="0" xfId="0" applyFont="1" applyAlignment="1">
      <alignment horizontal="left" vertical="top" wrapText="1"/>
    </xf>
    <xf numFmtId="0" fontId="13" fillId="0" borderId="0" xfId="0" applyFont="1" applyAlignment="1">
      <alignment horizontal="left" vertical="top" wrapText="1"/>
    </xf>
    <xf numFmtId="0" fontId="25" fillId="0" borderId="0" xfId="0" applyFont="1"/>
    <xf numFmtId="0" fontId="10"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1" fontId="27" fillId="0" borderId="0" xfId="0" applyNumberFormat="1" applyFont="1" applyAlignment="1">
      <alignment horizontal="right" vertical="top" wrapText="1"/>
    </xf>
    <xf numFmtId="0" fontId="6"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4" fillId="6" borderId="0" xfId="0" applyFont="1" applyFill="1" applyAlignment="1">
      <alignment horizontal="left" vertical="top" wrapText="1"/>
    </xf>
    <xf numFmtId="0" fontId="4" fillId="6" borderId="0" xfId="0" applyFont="1" applyFill="1" applyAlignment="1">
      <alignment horizontal="right" vertical="top" wrapText="1"/>
    </xf>
    <xf numFmtId="0" fontId="2" fillId="0" borderId="0" xfId="0" applyFont="1" applyAlignment="1">
      <alignment horizontal="left" vertical="top" wrapText="1"/>
    </xf>
    <xf numFmtId="0" fontId="2" fillId="0" borderId="0" xfId="0" applyFont="1"/>
    <xf numFmtId="164" fontId="4" fillId="0" borderId="0" xfId="0" applyNumberFormat="1" applyFont="1" applyAlignment="1">
      <alignment horizontal="left" vertical="top" wrapText="1"/>
    </xf>
    <xf numFmtId="2" fontId="4" fillId="6" borderId="0" xfId="0" applyNumberFormat="1" applyFont="1" applyFill="1" applyAlignment="1">
      <alignment horizontal="right" vertical="top" wrapText="1"/>
    </xf>
    <xf numFmtId="2" fontId="6" fillId="0" borderId="0" xfId="0" applyNumberFormat="1" applyFont="1" applyAlignment="1">
      <alignment horizontal="right" vertical="top" wrapText="1"/>
    </xf>
    <xf numFmtId="2" fontId="4" fillId="0" borderId="0" xfId="0" applyNumberFormat="1" applyFont="1" applyAlignment="1">
      <alignment horizontal="right" vertical="top" wrapText="1"/>
    </xf>
    <xf numFmtId="2" fontId="4" fillId="0" borderId="0" xfId="1" applyNumberFormat="1"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top" wrapText="1" indent="1"/>
    </xf>
    <xf numFmtId="0" fontId="5" fillId="3" borderId="8" xfId="0" applyFont="1" applyFill="1" applyBorder="1" applyAlignment="1">
      <alignment horizontal="left" vertical="top" wrapText="1"/>
    </xf>
    <xf numFmtId="2" fontId="4" fillId="0" borderId="0" xfId="0" applyNumberFormat="1" applyFont="1" applyAlignment="1">
      <alignment horizontal="left" vertical="top" wrapText="1"/>
    </xf>
    <xf numFmtId="0" fontId="6" fillId="6" borderId="0" xfId="0" applyFont="1" applyFill="1" applyAlignment="1">
      <alignment horizontal="left" vertical="top" wrapText="1"/>
    </xf>
    <xf numFmtId="0" fontId="17" fillId="0" borderId="0" xfId="0" applyFont="1" applyAlignment="1">
      <alignment vertical="top" wrapText="1"/>
    </xf>
    <xf numFmtId="9" fontId="6" fillId="0" borderId="0" xfId="0" applyNumberFormat="1" applyFont="1" applyAlignment="1">
      <alignment horizontal="left" vertical="top" wrapText="1"/>
    </xf>
    <xf numFmtId="0" fontId="4" fillId="0" borderId="0" xfId="0" applyFont="1" applyAlignment="1">
      <alignment horizontal="left"/>
    </xf>
    <xf numFmtId="9" fontId="4" fillId="0" borderId="0" xfId="2" applyFont="1"/>
    <xf numFmtId="9" fontId="6" fillId="0" borderId="0" xfId="2" applyFont="1"/>
    <xf numFmtId="0" fontId="6" fillId="0" borderId="0" xfId="0" applyFont="1" applyAlignment="1">
      <alignment horizontal="left" vertical="top" indent="2"/>
    </xf>
    <xf numFmtId="0" fontId="6" fillId="0" borderId="0" xfId="0" applyFont="1" applyAlignment="1">
      <alignment horizontal="left" vertical="top" wrapText="1" indent="2"/>
    </xf>
    <xf numFmtId="0" fontId="16" fillId="0" borderId="0" xfId="4" applyFont="1" applyBorder="1" applyAlignment="1">
      <alignment horizontal="right" vertical="top" wrapText="1"/>
    </xf>
    <xf numFmtId="9" fontId="6" fillId="6" borderId="0" xfId="2" applyFont="1" applyFill="1" applyAlignment="1">
      <alignment horizontal="left" vertical="top" wrapText="1"/>
    </xf>
    <xf numFmtId="9" fontId="4" fillId="0" borderId="0" xfId="2" applyFont="1" applyAlignment="1">
      <alignment horizontal="left" vertical="top" wrapText="1"/>
    </xf>
    <xf numFmtId="9" fontId="4" fillId="0" borderId="0" xfId="2" applyFont="1" applyFill="1" applyAlignment="1">
      <alignment horizontal="left" vertical="top" wrapText="1"/>
    </xf>
    <xf numFmtId="0" fontId="17" fillId="0" borderId="0" xfId="0" applyFont="1" applyAlignment="1">
      <alignment horizontal="left" wrapText="1"/>
    </xf>
    <xf numFmtId="0" fontId="17" fillId="0" borderId="0" xfId="0" applyFont="1" applyAlignment="1">
      <alignment horizontal="left"/>
    </xf>
    <xf numFmtId="12" fontId="4" fillId="0" borderId="0" xfId="6" applyNumberFormat="1" applyFont="1" applyFill="1" applyBorder="1" applyAlignment="1">
      <alignment vertical="top"/>
    </xf>
    <xf numFmtId="0" fontId="29" fillId="8" borderId="0" xfId="0" applyFont="1" applyFill="1" applyAlignment="1">
      <alignment horizontal="left" vertical="center" wrapText="1"/>
    </xf>
    <xf numFmtId="0" fontId="24" fillId="0" borderId="0" xfId="0" applyFont="1" applyAlignment="1">
      <alignment horizontal="left" vertical="center" wrapText="1" indent="1"/>
    </xf>
    <xf numFmtId="0" fontId="17" fillId="0" borderId="0" xfId="0" applyFont="1" applyAlignment="1">
      <alignment vertical="center" wrapText="1"/>
    </xf>
    <xf numFmtId="2" fontId="4" fillId="0" borderId="0" xfId="0" applyNumberFormat="1" applyFont="1" applyAlignment="1">
      <alignment horizontal="right" vertical="center" wrapText="1" indent="1"/>
    </xf>
    <xf numFmtId="43" fontId="4" fillId="0" borderId="0" xfId="1" applyFont="1" applyFill="1" applyBorder="1" applyAlignment="1">
      <alignment horizontal="left" vertical="center" wrapText="1" indent="1"/>
    </xf>
    <xf numFmtId="0" fontId="4" fillId="0" borderId="0" xfId="0" applyFont="1" applyAlignment="1">
      <alignment horizontal="left" vertical="center" wrapText="1"/>
    </xf>
    <xf numFmtId="43" fontId="4" fillId="0" borderId="0" xfId="1" applyFont="1" applyFill="1" applyBorder="1" applyAlignment="1">
      <alignment horizontal="right" vertical="center" wrapText="1" indent="1"/>
    </xf>
    <xf numFmtId="12" fontId="6" fillId="0" borderId="7" xfId="6" applyNumberFormat="1" applyFont="1" applyFill="1" applyBorder="1" applyAlignment="1">
      <alignment horizontal="left" vertical="top" wrapText="1"/>
    </xf>
    <xf numFmtId="0" fontId="24" fillId="0" borderId="0" xfId="0" applyFont="1" applyAlignment="1">
      <alignment horizontal="left" vertical="center" wrapText="1"/>
    </xf>
    <xf numFmtId="0" fontId="9" fillId="0" borderId="7" xfId="0" applyFont="1" applyBorder="1" applyAlignment="1">
      <alignment vertical="top" wrapText="1"/>
    </xf>
    <xf numFmtId="0" fontId="10" fillId="0" borderId="0" xfId="0" applyFont="1" applyAlignment="1">
      <alignment horizontal="left" vertical="top" wrapText="1" indent="2"/>
    </xf>
    <xf numFmtId="0" fontId="11" fillId="0" borderId="0" xfId="0" applyFont="1" applyAlignment="1">
      <alignment horizontal="left" vertical="top" indent="2"/>
    </xf>
    <xf numFmtId="0" fontId="6" fillId="6" borderId="0" xfId="0" applyFont="1" applyFill="1" applyAlignment="1">
      <alignment horizontal="right" vertical="top" wrapText="1"/>
    </xf>
    <xf numFmtId="2" fontId="4" fillId="0" borderId="0" xfId="2" applyNumberFormat="1" applyFont="1" applyAlignment="1">
      <alignment horizontal="right" vertical="top" wrapText="1"/>
    </xf>
    <xf numFmtId="1" fontId="4" fillId="0" borderId="0" xfId="0" applyNumberFormat="1" applyFont="1" applyAlignment="1">
      <alignment horizontal="right" vertical="top" wrapText="1"/>
    </xf>
    <xf numFmtId="0" fontId="4" fillId="0" borderId="0" xfId="0" applyFont="1" applyAlignment="1">
      <alignment horizontal="center" vertical="top" wrapText="1"/>
    </xf>
    <xf numFmtId="0" fontId="6" fillId="0" borderId="0" xfId="0" applyFont="1" applyAlignment="1">
      <alignment horizontal="right" vertical="top" wrapText="1"/>
    </xf>
    <xf numFmtId="2" fontId="6" fillId="0" borderId="0" xfId="2" applyNumberFormat="1" applyFont="1" applyAlignment="1">
      <alignment horizontal="right" vertical="top" wrapText="1"/>
    </xf>
    <xf numFmtId="1" fontId="6" fillId="0" borderId="0" xfId="0" applyNumberFormat="1" applyFont="1" applyAlignment="1">
      <alignment horizontal="right" vertical="top" wrapText="1"/>
    </xf>
    <xf numFmtId="164" fontId="6" fillId="0" borderId="0" xfId="1" applyNumberFormat="1" applyFont="1" applyAlignment="1">
      <alignment horizontal="left" vertical="top" wrapText="1"/>
    </xf>
    <xf numFmtId="164" fontId="4" fillId="0" borderId="0" xfId="1" applyNumberFormat="1" applyFont="1" applyAlignment="1">
      <alignment horizontal="righ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30" fillId="0" borderId="9" xfId="0" applyFont="1" applyBorder="1"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1" fillId="9" borderId="0" xfId="0" applyFont="1" applyFill="1" applyAlignment="1">
      <alignment horizontal="left" vertical="top" wrapText="1"/>
    </xf>
    <xf numFmtId="0" fontId="32" fillId="5" borderId="0" xfId="0" applyFont="1" applyFill="1"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2" fillId="0" borderId="0" xfId="0" applyFont="1" applyAlignment="1">
      <alignment horizontal="center" vertical="top" wrapText="1"/>
    </xf>
    <xf numFmtId="0" fontId="2" fillId="0" borderId="0" xfId="0" applyFont="1" applyAlignment="1">
      <alignment horizontal="center"/>
    </xf>
    <xf numFmtId="0" fontId="6" fillId="0" borderId="0" xfId="0" applyFont="1" applyAlignment="1">
      <alignment horizontal="left" vertical="top"/>
    </xf>
    <xf numFmtId="0" fontId="0" fillId="0" borderId="0" xfId="0" applyAlignment="1">
      <alignment horizontal="left"/>
    </xf>
    <xf numFmtId="0" fontId="33" fillId="0" borderId="0" xfId="0" applyFont="1" applyAlignment="1">
      <alignment horizontal="left" vertical="top" wrapText="1"/>
    </xf>
    <xf numFmtId="0" fontId="32" fillId="0" borderId="0" xfId="0" applyFont="1" applyAlignment="1">
      <alignment horizontal="left" vertical="top" wrapText="1"/>
    </xf>
    <xf numFmtId="0" fontId="34" fillId="0" borderId="0" xfId="0" applyFont="1" applyAlignment="1">
      <alignment horizontal="left" vertical="top" wrapText="1"/>
    </xf>
    <xf numFmtId="164" fontId="34" fillId="0" borderId="0" xfId="0" applyNumberFormat="1" applyFont="1" applyAlignment="1">
      <alignment horizontal="left" vertical="top" wrapText="1"/>
    </xf>
    <xf numFmtId="17" fontId="34" fillId="0" borderId="0" xfId="0" applyNumberFormat="1" applyFont="1" applyAlignment="1">
      <alignment horizontal="left" vertical="top" wrapText="1"/>
    </xf>
    <xf numFmtId="0" fontId="35" fillId="0" borderId="0" xfId="0" applyFont="1" applyAlignment="1">
      <alignment horizontal="left" vertical="top" wrapText="1" indent="1"/>
    </xf>
    <xf numFmtId="1" fontId="4" fillId="0" borderId="0" xfId="0" applyNumberFormat="1" applyFont="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left" vertical="top" wrapText="1" indent="3"/>
    </xf>
    <xf numFmtId="0" fontId="16" fillId="0" borderId="0" xfId="0" applyFont="1" applyAlignment="1">
      <alignment horizontal="left" vertical="top" wrapText="1"/>
    </xf>
    <xf numFmtId="0" fontId="6" fillId="0" borderId="0" xfId="0" applyFont="1" applyAlignment="1">
      <alignment horizontal="left" indent="2"/>
    </xf>
    <xf numFmtId="0" fontId="11" fillId="0" borderId="0" xfId="0" applyFont="1" applyAlignment="1">
      <alignment horizontal="left" indent="2"/>
    </xf>
    <xf numFmtId="167" fontId="4" fillId="0" borderId="0" xfId="0" applyNumberFormat="1" applyFont="1" applyAlignment="1">
      <alignment vertical="top" wrapText="1"/>
    </xf>
    <xf numFmtId="1" fontId="4" fillId="0" borderId="0" xfId="1" quotePrefix="1" applyNumberFormat="1" applyFont="1" applyFill="1" applyBorder="1" applyAlignment="1">
      <alignment horizontal="left" vertical="top" wrapText="1"/>
    </xf>
    <xf numFmtId="0" fontId="30" fillId="10" borderId="20" xfId="0" applyFont="1" applyFill="1" applyBorder="1" applyAlignment="1">
      <alignment horizontal="left" vertical="top" wrapText="1"/>
    </xf>
    <xf numFmtId="0" fontId="30" fillId="10" borderId="3" xfId="0" applyFont="1" applyFill="1" applyBorder="1" applyAlignment="1">
      <alignment horizontal="left" vertical="top" wrapText="1"/>
    </xf>
    <xf numFmtId="0" fontId="30" fillId="10" borderId="21" xfId="0" applyFont="1" applyFill="1" applyBorder="1" applyAlignment="1">
      <alignment horizontal="left" vertical="top" wrapText="1"/>
    </xf>
    <xf numFmtId="0" fontId="32" fillId="6" borderId="22" xfId="0" applyFont="1" applyFill="1" applyBorder="1" applyAlignment="1">
      <alignment horizontal="left" vertical="top" wrapText="1"/>
    </xf>
    <xf numFmtId="9" fontId="32" fillId="6" borderId="19" xfId="2" applyFont="1" applyFill="1" applyBorder="1" applyAlignment="1">
      <alignment horizontal="left" vertical="top" wrapText="1"/>
    </xf>
    <xf numFmtId="9" fontId="32" fillId="6" borderId="23" xfId="2" applyFont="1" applyFill="1" applyBorder="1" applyAlignment="1">
      <alignment horizontal="left" vertical="top" wrapText="1"/>
    </xf>
    <xf numFmtId="0" fontId="32" fillId="0" borderId="22" xfId="0" applyFont="1" applyBorder="1" applyAlignment="1">
      <alignment horizontal="left" vertical="top" wrapText="1" indent="2"/>
    </xf>
    <xf numFmtId="9" fontId="32" fillId="0" borderId="19" xfId="2" applyFont="1" applyBorder="1" applyAlignment="1">
      <alignment horizontal="left" vertical="top" wrapText="1"/>
    </xf>
    <xf numFmtId="9" fontId="32" fillId="0" borderId="23" xfId="2" applyFont="1" applyBorder="1" applyAlignment="1">
      <alignment horizontal="left" vertical="top" wrapText="1"/>
    </xf>
    <xf numFmtId="0" fontId="32" fillId="0" borderId="24" xfId="0" applyFont="1" applyBorder="1" applyAlignment="1">
      <alignment horizontal="left" vertical="top" wrapText="1" indent="2"/>
    </xf>
    <xf numFmtId="9" fontId="32" fillId="0" borderId="25" xfId="2" applyFont="1" applyBorder="1" applyAlignment="1">
      <alignment horizontal="left" vertical="top" wrapText="1"/>
    </xf>
    <xf numFmtId="9" fontId="32" fillId="0" borderId="26" xfId="2" applyFont="1" applyBorder="1" applyAlignment="1">
      <alignment horizontal="left" vertical="top" wrapText="1"/>
    </xf>
    <xf numFmtId="0" fontId="6" fillId="0" borderId="17" xfId="0" applyFont="1" applyBorder="1" applyAlignment="1">
      <alignment horizontal="right" vertical="top" wrapText="1" indent="2"/>
    </xf>
    <xf numFmtId="0" fontId="6" fillId="0" borderId="18" xfId="0" applyFont="1" applyBorder="1" applyAlignment="1">
      <alignment horizontal="right" vertical="top" wrapText="1" indent="2"/>
    </xf>
    <xf numFmtId="167" fontId="4" fillId="0" borderId="0" xfId="0" applyNumberFormat="1" applyFont="1" applyAlignment="1">
      <alignment horizontal="right" vertical="top" wrapText="1"/>
    </xf>
    <xf numFmtId="0" fontId="4" fillId="4" borderId="0" xfId="0" applyFont="1" applyFill="1" applyAlignment="1">
      <alignment vertical="top" wrapText="1"/>
    </xf>
    <xf numFmtId="166" fontId="4" fillId="0" borderId="0" xfId="0" applyNumberFormat="1" applyFont="1" applyAlignment="1">
      <alignment horizontal="left" vertical="top" wrapText="1"/>
    </xf>
    <xf numFmtId="0" fontId="38" fillId="0" borderId="0" xfId="0" applyFont="1" applyAlignment="1">
      <alignment vertical="top"/>
    </xf>
    <xf numFmtId="0" fontId="38" fillId="0" borderId="0" xfId="0" applyFont="1" applyAlignment="1">
      <alignment vertical="top" wrapText="1"/>
    </xf>
    <xf numFmtId="0" fontId="38" fillId="0" borderId="0" xfId="0" quotePrefix="1" applyFont="1" applyAlignment="1">
      <alignment vertical="top" wrapText="1"/>
    </xf>
    <xf numFmtId="0" fontId="39" fillId="0" borderId="0" xfId="4" applyFont="1" applyBorder="1" applyAlignment="1">
      <alignment horizontal="right" vertical="top" wrapText="1"/>
    </xf>
    <xf numFmtId="0" fontId="13" fillId="0" borderId="0" xfId="4" applyFont="1" applyBorder="1" applyAlignment="1">
      <alignment horizontal="right" vertical="top" wrapText="1"/>
    </xf>
    <xf numFmtId="9" fontId="4" fillId="0" borderId="0" xfId="2" applyFont="1" applyAlignment="1">
      <alignment horizontal="right" vertical="top" wrapText="1"/>
    </xf>
    <xf numFmtId="0" fontId="5" fillId="3" borderId="0" xfId="0" applyFont="1" applyFill="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7" fillId="0" borderId="0" xfId="0" applyFont="1" applyAlignment="1">
      <alignment horizontal="left" vertical="top" wrapText="1"/>
    </xf>
    <xf numFmtId="0" fontId="11" fillId="0" borderId="0" xfId="0" applyFont="1" applyAlignment="1">
      <alignment horizontal="left" vertical="top" wrapText="1" indent="2"/>
    </xf>
    <xf numFmtId="0" fontId="9" fillId="0" borderId="0" xfId="0" applyFont="1" applyAlignment="1">
      <alignment horizontal="left" vertical="top" wrapText="1"/>
    </xf>
    <xf numFmtId="0" fontId="18" fillId="0" borderId="17" xfId="0" applyFont="1" applyBorder="1" applyAlignment="1">
      <alignment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vertical="center" wrapText="1"/>
    </xf>
    <xf numFmtId="0" fontId="19" fillId="11" borderId="0" xfId="0" applyFont="1" applyFill="1" applyAlignment="1">
      <alignment horizontal="center" vertical="center" wrapText="1"/>
    </xf>
    <xf numFmtId="0" fontId="19" fillId="11" borderId="15" xfId="0" applyFont="1" applyFill="1" applyBorder="1" applyAlignment="1">
      <alignment horizontal="center" vertical="center" wrapText="1"/>
    </xf>
    <xf numFmtId="0" fontId="18" fillId="0" borderId="18" xfId="0" applyFont="1" applyBorder="1" applyAlignment="1">
      <alignment vertical="center" wrapText="1"/>
    </xf>
    <xf numFmtId="0" fontId="19" fillId="0" borderId="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11" borderId="6" xfId="0" applyFont="1" applyFill="1" applyBorder="1" applyAlignment="1">
      <alignment horizontal="center" vertical="center" wrapText="1"/>
    </xf>
    <xf numFmtId="0" fontId="21" fillId="11" borderId="4" xfId="0" applyFont="1" applyFill="1" applyBorder="1" applyAlignment="1">
      <alignment vertical="center" wrapText="1"/>
    </xf>
    <xf numFmtId="0" fontId="19" fillId="11" borderId="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11" borderId="4"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8" fillId="6" borderId="27" xfId="0" applyFont="1" applyFill="1" applyBorder="1" applyAlignment="1">
      <alignment horizontal="left" vertical="top" wrapText="1"/>
    </xf>
    <xf numFmtId="0" fontId="18"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8"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19" fillId="13" borderId="28" xfId="0" applyFont="1" applyFill="1" applyBorder="1" applyAlignment="1">
      <alignment horizontal="left" vertical="top" wrapText="1"/>
    </xf>
    <xf numFmtId="0" fontId="19" fillId="13" borderId="29" xfId="0" applyFont="1" applyFill="1" applyBorder="1" applyAlignment="1">
      <alignment horizontal="left" vertical="top" wrapText="1"/>
    </xf>
    <xf numFmtId="0" fontId="41" fillId="6" borderId="0" xfId="0" applyFont="1" applyFill="1" applyAlignment="1">
      <alignment vertical="center" wrapText="1"/>
    </xf>
    <xf numFmtId="0" fontId="6" fillId="0" borderId="0" xfId="0" applyFont="1" applyAlignment="1">
      <alignment horizontal="right" vertical="top" wrapText="1" inden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5" fillId="14" borderId="27" xfId="0" applyFont="1" applyFill="1" applyBorder="1" applyAlignment="1">
      <alignment horizontal="left" vertical="top" wrapText="1"/>
    </xf>
    <xf numFmtId="0" fontId="5" fillId="14" borderId="28" xfId="0" applyFont="1" applyFill="1" applyBorder="1" applyAlignment="1">
      <alignment horizontal="left" vertical="top" wrapText="1"/>
    </xf>
    <xf numFmtId="0" fontId="24" fillId="14" borderId="28" xfId="0" applyFont="1" applyFill="1" applyBorder="1" applyAlignment="1">
      <alignment horizontal="left" vertical="top" wrapText="1"/>
    </xf>
    <xf numFmtId="0" fontId="24" fillId="14" borderId="29" xfId="0" applyFont="1" applyFill="1" applyBorder="1" applyAlignment="1">
      <alignment horizontal="left" vertical="top" wrapText="1"/>
    </xf>
    <xf numFmtId="0" fontId="24" fillId="14" borderId="0" xfId="0" applyFont="1" applyFill="1" applyAlignment="1">
      <alignment horizontal="left" vertical="top" wrapText="1"/>
    </xf>
    <xf numFmtId="0" fontId="6" fillId="0" borderId="2" xfId="0" applyFont="1" applyBorder="1" applyAlignment="1">
      <alignment horizontal="left" vertical="top" wrapText="1"/>
    </xf>
    <xf numFmtId="0" fontId="5" fillId="14" borderId="17" xfId="0" applyFont="1" applyFill="1" applyBorder="1" applyAlignment="1">
      <alignment horizontal="left" vertical="top" wrapText="1"/>
    </xf>
    <xf numFmtId="0" fontId="5" fillId="14" borderId="15" xfId="0" applyFont="1" applyFill="1" applyBorder="1" applyAlignment="1">
      <alignment horizontal="left" vertical="top" wrapText="1"/>
    </xf>
    <xf numFmtId="0" fontId="6" fillId="6" borderId="17" xfId="0" applyFont="1" applyFill="1" applyBorder="1" applyAlignment="1">
      <alignment horizontal="left" vertical="top" wrapText="1"/>
    </xf>
    <xf numFmtId="0" fontId="4" fillId="6" borderId="15" xfId="0" applyFont="1" applyFill="1" applyBorder="1" applyAlignment="1">
      <alignment horizontal="left" vertical="top" wrapText="1"/>
    </xf>
    <xf numFmtId="164" fontId="4" fillId="0" borderId="0" xfId="1" applyNumberFormat="1" applyFont="1" applyAlignment="1">
      <alignment horizontal="left" vertical="top" wrapText="1"/>
    </xf>
    <xf numFmtId="9" fontId="4" fillId="6" borderId="0" xfId="2" applyFont="1" applyFill="1" applyBorder="1" applyAlignment="1">
      <alignment horizontal="left" vertical="top" wrapText="1"/>
    </xf>
    <xf numFmtId="9" fontId="4" fillId="0" borderId="0" xfId="2" applyFont="1" applyBorder="1" applyAlignment="1">
      <alignment horizontal="left" vertical="top" wrapText="1"/>
    </xf>
    <xf numFmtId="0" fontId="19" fillId="0" borderId="34" xfId="0" applyFont="1" applyBorder="1" applyAlignment="1">
      <alignment horizontal="left" vertical="top" wrapText="1"/>
    </xf>
    <xf numFmtId="0" fontId="19" fillId="0" borderId="10" xfId="0" applyFont="1" applyBorder="1" applyAlignment="1">
      <alignment horizontal="left" vertical="top" wrapText="1"/>
    </xf>
    <xf numFmtId="0" fontId="25" fillId="0" borderId="0" xfId="0" applyFont="1" applyAlignment="1">
      <alignment horizontal="left" vertical="top" wrapText="1"/>
    </xf>
    <xf numFmtId="0" fontId="6" fillId="0" borderId="36" xfId="0" applyFont="1" applyBorder="1" applyAlignment="1">
      <alignment horizontal="left" vertical="top" wrapText="1"/>
    </xf>
    <xf numFmtId="0" fontId="4" fillId="0" borderId="12" xfId="0" applyFont="1" applyBorder="1" applyAlignment="1">
      <alignment horizontal="left" vertical="top" wrapText="1"/>
    </xf>
    <xf numFmtId="0" fontId="4" fillId="0" borderId="35" xfId="0" applyFont="1" applyBorder="1" applyAlignment="1">
      <alignment horizontal="left" vertical="top" wrapText="1"/>
    </xf>
    <xf numFmtId="0" fontId="6" fillId="0" borderId="9" xfId="0" applyFont="1" applyBorder="1" applyAlignment="1">
      <alignment horizontal="left" vertical="top" wrapText="1"/>
    </xf>
    <xf numFmtId="0" fontId="4" fillId="0" borderId="10" xfId="0" applyFont="1" applyBorder="1" applyAlignment="1">
      <alignment horizontal="left" vertical="top" wrapText="1"/>
    </xf>
    <xf numFmtId="0" fontId="6"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6"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8" fillId="0" borderId="39" xfId="0" applyFont="1" applyBorder="1" applyAlignment="1">
      <alignment horizontal="left" vertical="top" wrapText="1"/>
    </xf>
    <xf numFmtId="0" fontId="18" fillId="0" borderId="4" xfId="0" applyFont="1" applyBorder="1" applyAlignment="1">
      <alignment horizontal="left" vertical="top" wrapText="1"/>
    </xf>
    <xf numFmtId="0" fontId="13" fillId="0" borderId="31" xfId="0" applyFont="1" applyBorder="1" applyAlignment="1">
      <alignment horizontal="left" vertical="top" wrapText="1"/>
    </xf>
    <xf numFmtId="0" fontId="18"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4" fillId="0" borderId="2" xfId="0" quotePrefix="1" applyFont="1" applyBorder="1" applyAlignment="1">
      <alignment horizontal="left" vertical="top" wrapText="1"/>
    </xf>
    <xf numFmtId="164" fontId="31" fillId="9" borderId="0" xfId="0" applyNumberFormat="1" applyFont="1" applyFill="1" applyAlignment="1">
      <alignment horizontal="left" vertical="top" wrapText="1"/>
    </xf>
    <xf numFmtId="164" fontId="32" fillId="5" borderId="0" xfId="0" applyNumberFormat="1" applyFont="1" applyFill="1" applyAlignment="1">
      <alignment horizontal="left" vertical="top" wrapText="1"/>
    </xf>
    <xf numFmtId="164" fontId="4" fillId="0" borderId="0" xfId="1" applyNumberFormat="1" applyFont="1" applyFill="1" applyAlignment="1">
      <alignment horizontal="left" vertical="top" wrapText="1"/>
    </xf>
    <xf numFmtId="164" fontId="6" fillId="0" borderId="0" xfId="1" applyNumberFormat="1" applyFont="1" applyAlignment="1">
      <alignment horizontal="center" vertical="top" wrapText="1"/>
    </xf>
    <xf numFmtId="164" fontId="4" fillId="0" borderId="0" xfId="1" applyNumberFormat="1" applyFont="1" applyAlignment="1">
      <alignment horizontal="center" vertical="top" wrapText="1"/>
    </xf>
    <xf numFmtId="0" fontId="15" fillId="15" borderId="0" xfId="4" applyFill="1" applyAlignment="1">
      <alignment horizontal="left" vertical="top" wrapText="1" indent="2"/>
    </xf>
    <xf numFmtId="0" fontId="15" fillId="15" borderId="0" xfId="4" applyFill="1" applyBorder="1" applyAlignment="1">
      <alignment horizontal="left" vertical="top" wrapText="1" indent="2"/>
    </xf>
    <xf numFmtId="0" fontId="42" fillId="0" borderId="0" xfId="0" applyFont="1" applyAlignment="1">
      <alignment horizontal="left" vertical="top" wrapText="1"/>
    </xf>
    <xf numFmtId="168" fontId="32" fillId="0" borderId="0" xfId="0" applyNumberFormat="1" applyFont="1" applyAlignment="1">
      <alignment horizontal="right" vertical="top" wrapText="1"/>
    </xf>
    <xf numFmtId="0" fontId="15" fillId="0" borderId="0" xfId="4" applyAlignment="1">
      <alignment horizontal="left" vertical="top" wrapText="1"/>
    </xf>
    <xf numFmtId="0" fontId="15" fillId="13" borderId="0" xfId="4" applyFill="1" applyBorder="1" applyAlignment="1">
      <alignment horizontal="left" vertical="top" wrapText="1"/>
    </xf>
    <xf numFmtId="0" fontId="7" fillId="0" borderId="0" xfId="0" applyFont="1" applyAlignment="1">
      <alignment horizontal="left" vertical="top" wrapText="1"/>
    </xf>
    <xf numFmtId="0" fontId="15" fillId="13" borderId="0" xfId="4" applyFill="1" applyAlignment="1">
      <alignment horizontal="left" vertical="top" wrapText="1"/>
    </xf>
    <xf numFmtId="0" fontId="9" fillId="0" borderId="0" xfId="0" applyFont="1" applyAlignment="1">
      <alignment vertical="top" wrapText="1"/>
    </xf>
    <xf numFmtId="0" fontId="15" fillId="13" borderId="0" xfId="4" applyFill="1" applyBorder="1" applyAlignment="1">
      <alignment vertical="top" wrapText="1"/>
    </xf>
    <xf numFmtId="0" fontId="6" fillId="0" borderId="4" xfId="0" applyFont="1" applyBorder="1" applyAlignment="1">
      <alignment horizontal="left" vertical="top" wrapText="1"/>
    </xf>
    <xf numFmtId="0" fontId="4" fillId="0" borderId="40" xfId="0" applyFont="1" applyBorder="1" applyAlignment="1">
      <alignment horizontal="left" vertical="top" wrapText="1"/>
    </xf>
    <xf numFmtId="0" fontId="18" fillId="0" borderId="18" xfId="0" applyFont="1" applyBorder="1" applyAlignment="1">
      <alignment horizontal="left" vertical="top" wrapText="1"/>
    </xf>
    <xf numFmtId="0" fontId="43" fillId="0" borderId="0" xfId="0" applyFont="1" applyAlignment="1">
      <alignment vertical="top" wrapText="1"/>
    </xf>
    <xf numFmtId="0" fontId="4" fillId="0" borderId="4" xfId="0" applyFont="1" applyBorder="1" applyAlignment="1">
      <alignment horizontal="left" vertical="top" wrapText="1"/>
    </xf>
    <xf numFmtId="164" fontId="6" fillId="0" borderId="0" xfId="1" applyNumberFormat="1" applyFont="1" applyBorder="1" applyAlignment="1">
      <alignment horizontal="right" vertical="top" wrapText="1"/>
    </xf>
    <xf numFmtId="164" fontId="4" fillId="0" borderId="0" xfId="1" applyNumberFormat="1" applyFont="1" applyBorder="1" applyAlignment="1">
      <alignment horizontal="right" vertical="top" wrapText="1"/>
    </xf>
    <xf numFmtId="164" fontId="4" fillId="6" borderId="0" xfId="0" applyNumberFormat="1" applyFont="1" applyFill="1" applyAlignment="1">
      <alignment horizontal="left" vertical="top" wrapText="1"/>
    </xf>
    <xf numFmtId="0" fontId="46" fillId="0" borderId="0" xfId="4" applyFont="1" applyBorder="1" applyAlignment="1">
      <alignment horizontal="right" vertical="top" wrapText="1"/>
    </xf>
    <xf numFmtId="0" fontId="6" fillId="13" borderId="41" xfId="0" applyFont="1" applyFill="1" applyBorder="1" applyAlignment="1">
      <alignment horizontal="left" vertical="top" wrapText="1"/>
    </xf>
    <xf numFmtId="0" fontId="5" fillId="6" borderId="0" xfId="0" applyFont="1" applyFill="1" applyAlignment="1">
      <alignment horizontal="left" vertical="top" wrapText="1"/>
    </xf>
    <xf numFmtId="0" fontId="6" fillId="15" borderId="41" xfId="0" applyFont="1" applyFill="1" applyBorder="1" applyAlignment="1">
      <alignment horizontal="left" vertical="top" wrapText="1"/>
    </xf>
    <xf numFmtId="1" fontId="4" fillId="6" borderId="0" xfId="0" applyNumberFormat="1" applyFont="1" applyFill="1" applyAlignment="1">
      <alignment horizontal="right" vertical="top" wrapText="1"/>
    </xf>
    <xf numFmtId="1" fontId="19" fillId="0" borderId="0" xfId="0" applyNumberFormat="1" applyFont="1" applyAlignment="1">
      <alignment horizontal="righ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6" xfId="0" applyFont="1" applyBorder="1" applyAlignment="1">
      <alignment horizontal="left" vertical="top" wrapText="1"/>
    </xf>
    <xf numFmtId="1" fontId="4" fillId="6" borderId="45" xfId="0" applyNumberFormat="1" applyFont="1" applyFill="1" applyBorder="1" applyAlignment="1">
      <alignment horizontal="right" vertical="top" wrapText="1"/>
    </xf>
    <xf numFmtId="1" fontId="4" fillId="6" borderId="46" xfId="0" applyNumberFormat="1" applyFont="1" applyFill="1" applyBorder="1" applyAlignment="1">
      <alignment horizontal="right" vertical="top" wrapText="1"/>
    </xf>
    <xf numFmtId="1" fontId="19" fillId="0" borderId="45" xfId="0" applyNumberFormat="1" applyFont="1" applyBorder="1" applyAlignment="1">
      <alignment horizontal="right" vertical="top" wrapText="1"/>
    </xf>
    <xf numFmtId="1" fontId="19" fillId="0" borderId="46" xfId="0" applyNumberFormat="1" applyFont="1" applyBorder="1" applyAlignment="1">
      <alignment horizontal="right" vertical="top" wrapText="1"/>
    </xf>
    <xf numFmtId="1" fontId="19" fillId="0" borderId="47" xfId="0" applyNumberFormat="1" applyFont="1" applyBorder="1" applyAlignment="1">
      <alignment horizontal="right" vertical="top" wrapText="1"/>
    </xf>
    <xf numFmtId="1" fontId="19" fillId="0" borderId="48" xfId="0" applyNumberFormat="1" applyFont="1" applyBorder="1" applyAlignment="1">
      <alignment horizontal="right" vertical="top" wrapText="1"/>
    </xf>
    <xf numFmtId="0" fontId="4" fillId="0" borderId="49" xfId="0" applyFont="1" applyBorder="1" applyAlignment="1">
      <alignment horizontal="left" vertical="top" wrapText="1"/>
    </xf>
    <xf numFmtId="1" fontId="19" fillId="0" borderId="41" xfId="0" applyNumberFormat="1" applyFont="1" applyBorder="1" applyAlignment="1">
      <alignment horizontal="right" vertical="top" wrapText="1"/>
    </xf>
    <xf numFmtId="0" fontId="18" fillId="0" borderId="43" xfId="0" applyFont="1" applyBorder="1" applyAlignment="1">
      <alignment horizontal="left" vertical="top" wrapText="1"/>
    </xf>
    <xf numFmtId="1" fontId="27" fillId="0" borderId="44" xfId="0" applyNumberFormat="1" applyFont="1" applyBorder="1" applyAlignment="1">
      <alignment horizontal="righ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9" fontId="6" fillId="0" borderId="45" xfId="2" applyFont="1" applyBorder="1" applyAlignment="1">
      <alignment horizontal="left" vertical="top" wrapText="1"/>
    </xf>
    <xf numFmtId="9" fontId="6" fillId="0" borderId="46" xfId="2" applyFont="1" applyBorder="1" applyAlignment="1">
      <alignment horizontal="left" vertical="top" wrapText="1"/>
    </xf>
    <xf numFmtId="9" fontId="4" fillId="0" borderId="45" xfId="2" applyFont="1" applyBorder="1" applyAlignment="1">
      <alignment horizontal="left" vertical="top" wrapText="1"/>
    </xf>
    <xf numFmtId="9" fontId="4" fillId="0" borderId="46" xfId="2" applyFont="1" applyBorder="1" applyAlignment="1">
      <alignment horizontal="left" vertical="top" wrapText="1"/>
    </xf>
    <xf numFmtId="9" fontId="4" fillId="0" borderId="47" xfId="2" applyFont="1" applyBorder="1" applyAlignment="1">
      <alignment horizontal="left" vertical="top" wrapText="1"/>
    </xf>
    <xf numFmtId="9" fontId="4" fillId="0" borderId="48" xfId="2" applyFont="1" applyBorder="1" applyAlignment="1">
      <alignment horizontal="left" vertical="top" wrapText="1"/>
    </xf>
    <xf numFmtId="1" fontId="27" fillId="0" borderId="49" xfId="0" applyNumberFormat="1" applyFont="1" applyBorder="1" applyAlignment="1">
      <alignment horizontal="right" vertical="top" wrapText="1"/>
    </xf>
    <xf numFmtId="9" fontId="6" fillId="0" borderId="45" xfId="0" applyNumberFormat="1" applyFont="1" applyBorder="1" applyAlignment="1">
      <alignment horizontal="left" vertical="top" wrapText="1"/>
    </xf>
    <xf numFmtId="9" fontId="6" fillId="0" borderId="46" xfId="0" applyNumberFormat="1" applyFont="1" applyBorder="1" applyAlignment="1">
      <alignment horizontal="left" vertical="top" wrapText="1"/>
    </xf>
    <xf numFmtId="9" fontId="4" fillId="0" borderId="45" xfId="0" applyNumberFormat="1" applyFont="1" applyBorder="1" applyAlignment="1">
      <alignment horizontal="left" vertical="top" wrapText="1"/>
    </xf>
    <xf numFmtId="9" fontId="4" fillId="0" borderId="46" xfId="0" applyNumberFormat="1" applyFont="1" applyBorder="1" applyAlignment="1">
      <alignment horizontal="left" vertical="top" wrapText="1"/>
    </xf>
    <xf numFmtId="9" fontId="4" fillId="0" borderId="47" xfId="0" applyNumberFormat="1" applyFont="1" applyBorder="1" applyAlignment="1">
      <alignment horizontal="left" vertical="top" wrapText="1"/>
    </xf>
    <xf numFmtId="9" fontId="4" fillId="0" borderId="41" xfId="0" applyNumberFormat="1" applyFont="1" applyBorder="1" applyAlignment="1">
      <alignment horizontal="left" vertical="top" wrapText="1"/>
    </xf>
    <xf numFmtId="9" fontId="4" fillId="0" borderId="48" xfId="0" applyNumberFormat="1" applyFont="1" applyBorder="1" applyAlignment="1">
      <alignment horizontal="left" vertical="top" wrapText="1"/>
    </xf>
    <xf numFmtId="0" fontId="9" fillId="0" borderId="41" xfId="0" applyFont="1" applyBorder="1" applyAlignment="1">
      <alignment wrapText="1"/>
    </xf>
    <xf numFmtId="0" fontId="21" fillId="10" borderId="0" xfId="0" applyFont="1" applyFill="1" applyAlignment="1">
      <alignment horizontal="left" vertical="top" wrapText="1"/>
    </xf>
    <xf numFmtId="165" fontId="4" fillId="0" borderId="0" xfId="0" applyNumberFormat="1" applyFont="1" applyAlignment="1">
      <alignment horizontal="left" vertical="top" wrapText="1"/>
    </xf>
    <xf numFmtId="165" fontId="4" fillId="6" borderId="0" xfId="0" applyNumberFormat="1" applyFont="1" applyFill="1" applyAlignment="1">
      <alignment horizontal="left" vertical="top" wrapText="1"/>
    </xf>
    <xf numFmtId="0" fontId="4" fillId="0" borderId="5" xfId="0" applyFont="1" applyBorder="1" applyAlignment="1">
      <alignment vertical="top" wrapText="1"/>
    </xf>
    <xf numFmtId="164" fontId="19" fillId="0" borderId="0" xfId="1" applyNumberFormat="1" applyFont="1" applyBorder="1" applyAlignment="1">
      <alignment horizontal="right" vertical="top" wrapText="1"/>
    </xf>
    <xf numFmtId="164" fontId="19" fillId="7" borderId="0" xfId="1" applyNumberFormat="1" applyFont="1" applyFill="1" applyBorder="1" applyAlignment="1">
      <alignment horizontal="right" vertical="top" wrapText="1"/>
    </xf>
    <xf numFmtId="169" fontId="4" fillId="0" borderId="0" xfId="1" applyNumberFormat="1" applyFont="1" applyAlignment="1">
      <alignment horizontal="right" vertical="top" wrapText="1"/>
    </xf>
    <xf numFmtId="169" fontId="4" fillId="6" borderId="0" xfId="1" applyNumberFormat="1" applyFont="1" applyFill="1" applyAlignment="1">
      <alignment horizontal="right" vertical="top" wrapText="1"/>
    </xf>
    <xf numFmtId="1" fontId="4" fillId="0" borderId="0" xfId="1" applyNumberFormat="1" applyFont="1" applyAlignment="1">
      <alignment horizontal="right" vertical="top" wrapText="1"/>
    </xf>
    <xf numFmtId="1" fontId="4" fillId="6" borderId="0" xfId="1" applyNumberFormat="1" applyFont="1" applyFill="1" applyAlignment="1">
      <alignment horizontal="right" vertical="top" wrapText="1"/>
    </xf>
    <xf numFmtId="164" fontId="4" fillId="0" borderId="0" xfId="0" applyNumberFormat="1" applyFont="1" applyAlignment="1">
      <alignment horizontal="right" vertical="top" wrapText="1"/>
    </xf>
    <xf numFmtId="169" fontId="6" fillId="0" borderId="0" xfId="0" applyNumberFormat="1" applyFont="1" applyAlignment="1">
      <alignment horizontal="right" vertical="top" wrapText="1"/>
    </xf>
    <xf numFmtId="169" fontId="4" fillId="6" borderId="0" xfId="0" applyNumberFormat="1" applyFont="1" applyFill="1" applyAlignment="1">
      <alignment horizontal="right" vertical="top" wrapText="1"/>
    </xf>
    <xf numFmtId="169" fontId="4" fillId="0" borderId="0" xfId="0" applyNumberFormat="1" applyFont="1" applyAlignment="1">
      <alignment horizontal="right" vertical="top" wrapText="1"/>
    </xf>
    <xf numFmtId="169" fontId="6" fillId="0" borderId="0" xfId="1" applyNumberFormat="1" applyFont="1" applyAlignment="1">
      <alignment horizontal="right" vertical="top" wrapText="1"/>
    </xf>
    <xf numFmtId="164" fontId="4" fillId="6" borderId="0" xfId="1" applyNumberFormat="1" applyFont="1" applyFill="1" applyAlignment="1">
      <alignment horizontal="left" vertical="top" wrapText="1"/>
    </xf>
    <xf numFmtId="164" fontId="6" fillId="6" borderId="0" xfId="1" applyNumberFormat="1" applyFont="1" applyFill="1" applyAlignment="1">
      <alignment horizontal="left" vertical="top" wrapText="1"/>
    </xf>
    <xf numFmtId="164" fontId="6" fillId="0" borderId="0" xfId="0" applyNumberFormat="1" applyFont="1" applyAlignment="1">
      <alignment horizontal="right" vertical="top" wrapText="1"/>
    </xf>
    <xf numFmtId="164" fontId="6" fillId="0" borderId="0" xfId="1" applyNumberFormat="1" applyFont="1" applyAlignment="1">
      <alignment horizontal="right" vertical="top" wrapText="1"/>
    </xf>
    <xf numFmtId="0" fontId="5" fillId="6" borderId="0" xfId="0" applyFont="1" applyFill="1" applyAlignment="1">
      <alignment horizontal="right" vertical="top" wrapText="1"/>
    </xf>
    <xf numFmtId="3" fontId="6" fillId="0" borderId="0" xfId="0" applyNumberFormat="1" applyFont="1" applyAlignment="1">
      <alignment horizontal="right" vertical="top" wrapText="1"/>
    </xf>
    <xf numFmtId="3" fontId="4" fillId="0" borderId="0" xfId="0" applyNumberFormat="1" applyFont="1" applyAlignment="1">
      <alignment horizontal="right" vertical="top" wrapText="1"/>
    </xf>
    <xf numFmtId="9" fontId="6" fillId="6" borderId="0" xfId="0" applyNumberFormat="1" applyFont="1" applyFill="1" applyAlignment="1">
      <alignment horizontal="left" vertical="top" wrapText="1"/>
    </xf>
    <xf numFmtId="170" fontId="6" fillId="0" borderId="0" xfId="0" applyNumberFormat="1" applyFont="1" applyAlignment="1">
      <alignment horizontal="right" vertical="top" wrapText="1"/>
    </xf>
    <xf numFmtId="170" fontId="4" fillId="0" borderId="0" xfId="0" applyNumberFormat="1" applyFont="1" applyAlignment="1">
      <alignment horizontal="right" vertical="top" wrapText="1"/>
    </xf>
    <xf numFmtId="0" fontId="37" fillId="5" borderId="41" xfId="3" applyFont="1" applyFill="1" applyBorder="1" applyAlignment="1">
      <alignment horizontal="left"/>
    </xf>
    <xf numFmtId="0" fontId="21" fillId="11" borderId="17" xfId="0" applyFont="1" applyFill="1" applyBorder="1" applyAlignment="1">
      <alignment horizontal="left" vertical="center" wrapText="1"/>
    </xf>
    <xf numFmtId="0" fontId="21" fillId="11" borderId="0" xfId="0" applyFont="1" applyFill="1" applyAlignment="1">
      <alignment horizontal="left" vertical="center" wrapText="1"/>
    </xf>
    <xf numFmtId="0" fontId="26" fillId="0" borderId="0" xfId="0" applyFont="1" applyAlignment="1">
      <alignment horizontal="left" vertical="top" wrapText="1"/>
    </xf>
    <xf numFmtId="0" fontId="36"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vertical="top" wrapText="1"/>
    </xf>
    <xf numFmtId="0" fontId="21" fillId="11" borderId="4" xfId="0" applyFont="1" applyFill="1" applyBorder="1" applyAlignment="1">
      <alignment horizontal="left" vertical="center" wrapText="1"/>
    </xf>
    <xf numFmtId="0" fontId="21" fillId="11" borderId="5" xfId="0" applyFont="1" applyFill="1" applyBorder="1" applyAlignment="1">
      <alignment horizontal="left" vertical="center" wrapText="1"/>
    </xf>
    <xf numFmtId="0" fontId="19" fillId="0" borderId="17" xfId="0" applyFont="1" applyBorder="1" applyAlignment="1">
      <alignment vertical="top" wrapText="1"/>
    </xf>
    <xf numFmtId="0" fontId="19" fillId="0" borderId="15"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5" fillId="14" borderId="9" xfId="0" applyFont="1" applyFill="1" applyBorder="1" applyAlignment="1">
      <alignment horizontal="left" vertical="top" wrapText="1"/>
    </xf>
    <xf numFmtId="0" fontId="5" fillId="14" borderId="0" xfId="0" applyFont="1" applyFill="1" applyAlignment="1">
      <alignment horizontal="left" vertical="top" wrapText="1"/>
    </xf>
    <xf numFmtId="0" fontId="5" fillId="14" borderId="10" xfId="0" applyFont="1" applyFill="1" applyBorder="1" applyAlignment="1">
      <alignment horizontal="left" vertical="top" wrapText="1"/>
    </xf>
    <xf numFmtId="0" fontId="6" fillId="0" borderId="50" xfId="0" applyFont="1" applyBorder="1" applyAlignment="1">
      <alignment horizontal="center" vertical="top" wrapText="1"/>
    </xf>
    <xf numFmtId="0" fontId="6" fillId="0" borderId="42" xfId="0" applyFont="1" applyBorder="1" applyAlignment="1">
      <alignment horizontal="center" vertical="top" wrapText="1"/>
    </xf>
    <xf numFmtId="0" fontId="6" fillId="0" borderId="51" xfId="0" applyFont="1" applyBorder="1" applyAlignment="1">
      <alignment horizontal="center" vertical="top" wrapText="1"/>
    </xf>
    <xf numFmtId="0" fontId="18" fillId="6" borderId="27"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33" xfId="0" applyFont="1" applyFill="1" applyBorder="1" applyAlignment="1">
      <alignment horizontal="left" vertical="top" wrapText="1"/>
    </xf>
    <xf numFmtId="0" fontId="5" fillId="12" borderId="11" xfId="0" applyFont="1" applyFill="1" applyBorder="1" applyAlignment="1">
      <alignment horizontal="left" vertical="top" wrapText="1"/>
    </xf>
    <xf numFmtId="0" fontId="5" fillId="12" borderId="13" xfId="0" applyFont="1" applyFill="1" applyBorder="1" applyAlignment="1">
      <alignment horizontal="left" vertical="top" wrapText="1"/>
    </xf>
    <xf numFmtId="0" fontId="17" fillId="0" borderId="0" xfId="0" applyFont="1" applyAlignment="1">
      <alignment horizontal="left" vertical="top" wrapText="1"/>
    </xf>
    <xf numFmtId="0" fontId="9" fillId="0" borderId="41" xfId="0" applyFont="1" applyBorder="1" applyAlignment="1">
      <alignment horizontal="left" vertical="top" wrapText="1"/>
    </xf>
    <xf numFmtId="0" fontId="6" fillId="0" borderId="0" xfId="0" applyFont="1" applyAlignment="1">
      <alignment horizontal="left" vertical="top" wrapText="1" indent="2"/>
    </xf>
    <xf numFmtId="0" fontId="10" fillId="0" borderId="0" xfId="0" applyFont="1" applyAlignment="1">
      <alignment horizontal="left" vertical="top" wrapText="1" indent="2"/>
    </xf>
    <xf numFmtId="0" fontId="11" fillId="0" borderId="0" xfId="0" applyFont="1" applyAlignment="1">
      <alignment horizontal="left" vertical="top" wrapText="1" indent="2"/>
    </xf>
    <xf numFmtId="0" fontId="43" fillId="0" borderId="0" xfId="0" applyFont="1" applyAlignment="1">
      <alignment horizontal="left" vertical="top" wrapText="1"/>
    </xf>
    <xf numFmtId="0" fontId="6" fillId="0" borderId="0" xfId="0" applyFont="1" applyAlignment="1">
      <alignment horizontal="left" vertical="top" wrapText="1" indent="1"/>
    </xf>
    <xf numFmtId="0" fontId="7" fillId="0" borderId="4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7" fillId="0" borderId="0" xfId="0" applyFont="1" applyAlignment="1">
      <alignment horizontal="left" wrapText="1"/>
    </xf>
    <xf numFmtId="0" fontId="17" fillId="0" borderId="3" xfId="0" applyFont="1" applyBorder="1" applyAlignment="1">
      <alignment horizontal="left" vertical="top" wrapText="1"/>
    </xf>
    <xf numFmtId="0" fontId="12"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16"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17" fillId="0" borderId="14" xfId="0" applyFont="1" applyBorder="1" applyAlignment="1">
      <alignment horizontal="left" vertical="top" wrapText="1"/>
    </xf>
    <xf numFmtId="0" fontId="6" fillId="0" borderId="0" xfId="0" applyFont="1" applyAlignment="1">
      <alignment horizontal="left" vertical="top" wrapText="1"/>
    </xf>
  </cellXfs>
  <cellStyles count="7">
    <cellStyle name="Accent1" xfId="3" builtinId="29"/>
    <cellStyle name="Comma" xfId="1" builtinId="3"/>
    <cellStyle name="Comma 2" xfId="5" xr:uid="{6243EC63-2CEB-4923-8EC1-6937A5E7F9D8}"/>
    <cellStyle name="Hyperlink" xfId="4" builtinId="8" customBuiltin="1"/>
    <cellStyle name="Normal" xfId="0" builtinId="0"/>
    <cellStyle name="Percent" xfId="2" builtinId="5"/>
    <cellStyle name="Percent 2" xfId="6" xr:uid="{124F9BD5-3466-4DF9-80FC-5B937B00970B}"/>
  </cellStyles>
  <dxfs count="34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strike val="0"/>
        <outline val="0"/>
        <shadow val="0"/>
        <u val="none"/>
        <vertAlign val="baseline"/>
        <sz val="10"/>
        <color theme="1"/>
        <name val="Aptos Narrow"/>
        <family val="2"/>
        <scheme val="minor"/>
      </font>
      <alignment horizontal="left" vertical="top" textRotation="0" wrapText="1"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numFmt numFmtId="167" formatCode="_-[$$-409]* #,##0.00_ ;_-[$$-409]* \-#,##0.00\ ;_-[$$-409]* &quot;-&quot;??_ ;_-@_ "/>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numFmt numFmtId="167" formatCode="_-[$$-409]* #,##0.00_ ;_-[$$-409]* \-#,##0.00\ ;_-[$$-409]* &quot;-&quot;??_ ;_-@_ "/>
      <alignment horizontal="general"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border diagonalUp="0" diagonalDown="0">
        <left style="thin">
          <color theme="4"/>
        </left>
        <right/>
        <top style="thin">
          <color theme="4"/>
        </top>
        <bottom/>
      </border>
    </dxf>
    <dxf>
      <font>
        <strike val="0"/>
        <outline val="0"/>
        <shadow val="0"/>
        <u val="none"/>
        <vertAlign val="baseline"/>
        <sz val="10"/>
        <color theme="1"/>
        <name val="Aptos Narrow"/>
        <family val="2"/>
        <scheme val="minor"/>
      </font>
      <alignment horizontal="left" vertical="top" textRotation="0" wrapText="1" justifyLastLine="0" shrinkToFit="0" readingOrder="0"/>
    </dxf>
    <dxf>
      <font>
        <b/>
        <i val="0"/>
        <strike val="0"/>
        <condense val="0"/>
        <extend val="0"/>
        <outline val="0"/>
        <shadow val="0"/>
        <u val="none"/>
        <vertAlign val="baseline"/>
        <sz val="10"/>
        <color theme="0"/>
        <name val="Aptos Narrow"/>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70" formatCode="#,##0.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10"/>
        <color theme="1"/>
        <name val="Aptos Narrow"/>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0"/>
        <color theme="0"/>
        <name val="Aptos Narrow"/>
        <family val="2"/>
        <scheme val="minor"/>
      </font>
      <fill>
        <patternFill patternType="none">
          <fgColor indexed="64"/>
          <bgColor auto="1"/>
        </patternFill>
      </fill>
      <alignment horizontal="left" vertical="center" textRotation="0"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0"/>
        <name val="Aptos Narrow"/>
        <family val="2"/>
        <scheme val="minor"/>
      </font>
      <fill>
        <patternFill patternType="none">
          <fgColor theme="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strike val="0"/>
        <outline val="0"/>
        <shadow val="0"/>
        <u val="none"/>
        <vertAlign val="baseline"/>
        <sz val="10"/>
        <color theme="1"/>
        <name val="Aptos Narrow"/>
        <family val="2"/>
        <scheme val="minor"/>
      </font>
      <numFmt numFmtId="0" formatCode="General"/>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left" vertical="top" textRotation="0" wrapText="1" indent="0" justifyLastLine="0" shrinkToFit="0" readingOrder="0"/>
    </dxf>
    <dxf>
      <border outline="0">
        <right style="thin">
          <color theme="5"/>
        </right>
      </border>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8" formatCode="0.0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8" formatCode="0.0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fill>
        <patternFill>
          <bgColor theme="0"/>
        </patternFill>
      </fill>
      <alignment horizontal="left" vertical="top" textRotation="0" wrapText="1" indent="0" justifyLastLine="0" shrinkToFit="0" readingOrder="0"/>
    </dxf>
    <dxf>
      <fill>
        <patternFill>
          <bgColor theme="0"/>
        </patternFill>
      </fill>
    </dxf>
    <dxf>
      <border outline="0">
        <top style="thin">
          <color rgb="FF002E5D"/>
        </top>
      </border>
    </dxf>
    <dxf>
      <font>
        <b val="0"/>
        <i val="0"/>
        <strike val="0"/>
        <condense val="0"/>
        <extend val="0"/>
        <outline val="0"/>
        <shadow val="0"/>
        <u val="none"/>
        <vertAlign val="baseline"/>
        <sz val="10"/>
        <color rgb="FF002E5D"/>
        <name val="Aptos Narrow"/>
        <family val="2"/>
        <scheme val="none"/>
      </font>
      <fill>
        <patternFill>
          <bgColor theme="0"/>
        </patternFill>
      </fill>
      <alignment horizontal="left" vertical="top" textRotation="0" wrapText="1" indent="0" justifyLastLine="0" shrinkToFit="0" readingOrder="0"/>
    </dxf>
    <dxf>
      <font>
        <b/>
        <i val="0"/>
        <strike val="0"/>
        <condense val="0"/>
        <extend val="0"/>
        <outline val="0"/>
        <shadow val="0"/>
        <u val="none"/>
        <vertAlign val="baseline"/>
        <sz val="10"/>
        <color rgb="FFFFFFFF"/>
        <name val="Aptos Narrow"/>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border>
        <left style="thin">
          <color rgb="FF002E5D"/>
        </left>
      </border>
    </dxf>
    <dxf>
      <border>
        <left style="thin">
          <color rgb="FF002E5D"/>
        </left>
      </border>
    </dxf>
    <dxf>
      <border>
        <top style="thin">
          <color rgb="FF002E5D"/>
        </top>
      </border>
    </dxf>
    <dxf>
      <border>
        <top style="thin">
          <color rgb="FF002E5D"/>
        </top>
      </border>
    </dxf>
    <dxf>
      <font>
        <b/>
        <color rgb="FF002E5D"/>
      </font>
    </dxf>
    <dxf>
      <font>
        <b/>
        <color rgb="FF002E5D"/>
      </font>
    </dxf>
    <dxf>
      <font>
        <b/>
        <color rgb="FF002E5D"/>
      </font>
      <border>
        <top style="double">
          <color rgb="FF002E5D"/>
        </top>
      </border>
    </dxf>
    <dxf>
      <font>
        <b/>
        <color rgb="FFFFFFFF"/>
      </font>
      <fill>
        <patternFill patternType="solid">
          <fgColor rgb="FF002E5D"/>
          <bgColor rgb="FF002E5D"/>
        </patternFill>
      </fill>
    </dxf>
    <dxf>
      <font>
        <color rgb="FF002E5D"/>
      </font>
      <border>
        <left style="thin">
          <color rgb="FF002E5D"/>
        </left>
        <right style="thin">
          <color rgb="FF002E5D"/>
        </right>
        <top style="thin">
          <color rgb="FF002E5D"/>
        </top>
        <bottom style="thin">
          <color rgb="FF002E5D"/>
        </bottom>
      </border>
    </dxf>
    <dxf>
      <border>
        <left style="thin">
          <color rgb="FF002E5D"/>
        </left>
      </border>
    </dxf>
    <dxf>
      <border>
        <left style="thin">
          <color rgb="FF002E5D"/>
        </left>
      </border>
    </dxf>
    <dxf>
      <border>
        <top style="thin">
          <color rgb="FF002E5D"/>
        </top>
      </border>
    </dxf>
    <dxf>
      <border>
        <top style="thin">
          <color rgb="FF002E5D"/>
        </top>
      </border>
    </dxf>
    <dxf>
      <font>
        <b/>
        <color rgb="FF002E5D"/>
      </font>
    </dxf>
    <dxf>
      <font>
        <b/>
        <color rgb="FF002E5D"/>
      </font>
    </dxf>
    <dxf>
      <font>
        <b/>
        <color rgb="FF002E5D"/>
      </font>
      <border>
        <top style="double">
          <color rgb="FF002E5D"/>
        </top>
      </border>
    </dxf>
    <dxf>
      <font>
        <b/>
        <color rgb="FFFFFFFF"/>
      </font>
      <fill>
        <patternFill patternType="solid">
          <fgColor rgb="FF002E5D"/>
          <bgColor rgb="FF002E5D"/>
        </patternFill>
      </fill>
    </dxf>
    <dxf>
      <font>
        <color rgb="FF002E5D"/>
      </font>
      <border>
        <left style="thin">
          <color rgb="FF002E5D"/>
        </left>
        <right style="thin">
          <color rgb="FF002E5D"/>
        </right>
        <top style="thin">
          <color rgb="FF002E5D"/>
        </top>
        <bottom style="thin">
          <color rgb="FF002E5D"/>
        </bottom>
      </border>
    </dxf>
  </dxfs>
  <tableStyles count="2" defaultTableStyle="TableStyleMedium2" defaultPivotStyle="PivotStyleLight16">
    <tableStyle name="TableStyleLight8 2" pivot="0" count="9" xr9:uid="{B0F787F9-D1E8-4BE0-9618-258D5E786833}">
      <tableStyleElement type="wholeTable" dxfId="347"/>
      <tableStyleElement type="headerRow" dxfId="346"/>
      <tableStyleElement type="totalRow" dxfId="345"/>
      <tableStyleElement type="firstColumn" dxfId="344"/>
      <tableStyleElement type="lastColumn" dxfId="343"/>
      <tableStyleElement type="firstRowStripe" dxfId="342"/>
      <tableStyleElement type="secondRowStripe" dxfId="341"/>
      <tableStyleElement type="firstColumnStripe" dxfId="340"/>
      <tableStyleElement type="secondColumnStripe" dxfId="339"/>
    </tableStyle>
    <tableStyle name="TableStyleLight9 2" pivot="0" count="9" xr9:uid="{FB9F90CA-F84A-4CDA-886E-823A05168105}">
      <tableStyleElement type="wholeTable" dxfId="338"/>
      <tableStyleElement type="headerRow" dxfId="337"/>
      <tableStyleElement type="totalRow" dxfId="336"/>
      <tableStyleElement type="firstColumn" dxfId="335"/>
      <tableStyleElement type="lastColumn" dxfId="334"/>
      <tableStyleElement type="firstRowStripe" dxfId="333"/>
      <tableStyleElement type="secondRowStripe" dxfId="332"/>
      <tableStyleElement type="firstColumnStripe" dxfId="331"/>
      <tableStyleElement type="secondColumnStripe" dxfId="330"/>
    </tableStyle>
  </tableStyles>
  <colors>
    <mruColors>
      <color rgb="FFC19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rik Jensen" id="{9A8FC171-BA8F-4BE0-83E6-29306231F270}" userId="Erik Jense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5A18BDD-15DD-4B6B-8C94-6FEA6BB3798B}" name="References" displayName="References" ref="B14:C22" totalsRowShown="0" headerRowDxfId="329" dataDxfId="328">
  <autoFilter ref="B14:C22" xr:uid="{E5A18BDD-15DD-4B6B-8C94-6FEA6BB3798B}"/>
  <tableColumns count="2">
    <tableColumn id="1" xr3:uid="{115FF4D0-803F-410A-9506-4620D2087FF4}" name="Documents" dataDxfId="327"/>
    <tableColumn id="5" xr3:uid="{ABADB0FC-A894-49C6-82C2-39ECF1F52816}" name="Where to find them" dataDxfId="3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B78174E-418F-424E-839F-5BF7FC3EC167}" name="Table59" displayName="Table59" ref="B49:D92" totalsRowShown="0" headerRowDxfId="325" dataDxfId="324">
  <autoFilter ref="B49:D92" xr:uid="{0B78174E-418F-424E-839F-5BF7FC3EC167}"/>
  <tableColumns count="3">
    <tableColumn id="1" xr3:uid="{8E20F066-A3EC-44D5-9603-9FC5FB75C18F}" name="TAB / MATERIAL TOPIC" dataDxfId="323"/>
    <tableColumn id="2" xr3:uid="{5E193DDF-D208-4759-ADAF-814EB78CFE1F}" name="TABLE / DISCLOSURE" dataDxfId="322"/>
    <tableColumn id="3" xr3:uid="{0954D1E0-2ED1-45F9-A317-E4AF32510E3D}" name="FRAMEWORK DISCLOSURE" dataDxfId="3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894915-E0CC-4A98-BCED-15B87A64129A}" name="Table1" displayName="Table1" ref="C8:F34" totalsRowShown="0" headerRowDxfId="320" dataDxfId="319">
  <autoFilter ref="C8:F34" xr:uid="{60894915-E0CC-4A98-BCED-15B87A64129A}"/>
  <tableColumns count="4">
    <tableColumn id="1" xr3:uid="{B940A903-3B7E-470C-9CAA-33C48276F009}" name="Biodiversity Overview" dataDxfId="318"/>
    <tableColumn id="2" xr3:uid="{19E2CF7B-4DB6-41AE-A16F-AF40528ADF23}" name="El Limon Complex" dataDxfId="317"/>
    <tableColumn id="3" xr3:uid="{46A9B0CD-D564-4A17-ACA4-5CFE93650170}" name="La Libertad Complex" dataDxfId="316"/>
    <tableColumn id="4" xr3:uid="{C57FBBCA-F8D6-4901-BA5A-D4898906730A}" name="Pan Mine" dataDxfId="31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C4D4EE-D472-4B95-AF8F-57A5AC68876D}" name="Table7" displayName="Table7" ref="C37:F49" totalsRowShown="0" headerRowDxfId="314" dataDxfId="313">
  <autoFilter ref="C37:F49" xr:uid="{4FC4D4EE-D472-4B95-AF8F-57A5AC68876D}"/>
  <tableColumns count="4">
    <tableColumn id="1" xr3:uid="{5D50C01E-BC2C-4E9D-AFE4-693CE4675EAD}" name="Disclosure" dataDxfId="312"/>
    <tableColumn id="2" xr3:uid="{92969368-58E9-436A-8BEE-41B7CBC0A4E2}" name="El Limon Complex" dataDxfId="311"/>
    <tableColumn id="3" xr3:uid="{15897403-726F-41E9-934F-3BBFE216E9C7}" name="La Libertad Complex" dataDxfId="310"/>
    <tableColumn id="4" xr3:uid="{2080D1D1-304D-4239-B8BD-2161A0024943}" name="Pan Mine" dataDxfId="30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5AC966-B2E4-40C5-A306-4092E1E1566A}" name="Table13" displayName="Table13" ref="C10:G30" totalsRowShown="0" headerRowDxfId="308" dataDxfId="307">
  <autoFilter ref="C10:G30" xr:uid="{60894915-E0CC-4A98-BCED-15B87A64129A}"/>
  <tableColumns count="5">
    <tableColumn id="1" xr3:uid="{06CCF967-7A58-4BA2-A4C7-06258ED1AF56}" name="Water Withdrawal FY2024 (ML)(1)(2)" dataDxfId="306" totalsRowDxfId="305"/>
    <tableColumn id="2" xr3:uid="{B30925FA-E5F3-4673-834E-81D6B71BA057}" name="El Limon Complex" dataDxfId="304" totalsRowDxfId="303">
      <calculatedColumnFormula>SUM(D12:D13)</calculatedColumnFormula>
    </tableColumn>
    <tableColumn id="3" xr3:uid="{DAE05BFF-BFEF-44A7-9AB2-6342DEE02FFD}" name="La Libertad Complex" dataDxfId="302" totalsRowDxfId="301"/>
    <tableColumn id="4" xr3:uid="{8BDCF98C-4C4E-4493-AEBD-5EBDBF8EE611}" name="Pan Mine" dataDxfId="300" totalsRowDxfId="299"/>
    <tableColumn id="5" xr3:uid="{83C9E014-FB50-438F-A9B1-D21975812FCE}" name="Calibre" dataDxfId="298" totalsRowDxfId="297">
      <calculatedColumnFormula>SUM(Table13[[#This Row],[El Limon Complex]:[Pan Mine]])</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F30722A-5873-425A-8400-51561772958F}" name="Table1321" displayName="Table1321" ref="C33:G44" totalsRowShown="0" headerRowDxfId="296" dataDxfId="295">
  <autoFilter ref="C33:G44" xr:uid="{7F30722A-5873-425A-8400-51561772958F}"/>
  <tableColumns count="5">
    <tableColumn id="1" xr3:uid="{C86A16E7-E810-4282-B67A-B0E7968BFD10}" name="Water Discharge FY2024 (ML)" dataDxfId="294"/>
    <tableColumn id="2" xr3:uid="{D3483B56-2651-4335-BAB8-B40487C77BA4}" name="El Limon Complex" dataDxfId="293"/>
    <tableColumn id="3" xr3:uid="{B463D4EF-E386-40A1-8FBE-FC809BEC5AFE}" name="La Libertad Complex" dataDxfId="292"/>
    <tableColumn id="4" xr3:uid="{22325C78-5F98-40F6-A473-FAF64BE90023}" name="Pan Mine" dataDxfId="291"/>
    <tableColumn id="5" xr3:uid="{ADC3A18D-A50A-4195-9451-32D816C052FC}" name="Calibre" dataDxfId="290">
      <calculatedColumnFormula>SUM(Table1321[[#This Row],[El Limon Complex]:[Pan Mine]])</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AD0DF3-1129-4E93-9582-198DA0C9B0E4}" name="Table1322" displayName="Table1322" ref="C47:G52" totalsRowShown="0" headerRowDxfId="289" dataDxfId="288">
  <autoFilter ref="C47:G52" xr:uid="{BFAD0DF3-1129-4E93-9582-198DA0C9B0E4}"/>
  <tableColumns count="5">
    <tableColumn id="1" xr3:uid="{B027414D-917B-4258-AA7F-1D5FE483F003}" name="Water Consumption FY2024 (ML)" dataDxfId="287"/>
    <tableColumn id="2" xr3:uid="{04500720-751D-4D6A-82C0-FC5754EBA562}" name="El Limon Complex" dataDxfId="286"/>
    <tableColumn id="3" xr3:uid="{D4A0BA60-74EE-43A0-8A65-02F9CF94FC40}" name="La Libertad Complex" dataDxfId="285"/>
    <tableColumn id="4" xr3:uid="{F6E0B775-99F8-4F96-BA94-6A7AAF33392D}" name="Pan Mine" dataDxfId="284"/>
    <tableColumn id="5" xr3:uid="{9FAAB055-A730-46E3-8E0D-FC7A0EEED453}" name="Calibre" dataDxfId="283">
      <calculatedColumnFormula>SUM(Table1322[[#This Row],[El Limon Complex]:[Pan Mine]])</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5C71A31-DD05-4EAE-9C81-DEAAC130AAE2}" name="Table61" displayName="Table61" ref="C55:H60" totalsRowShown="0" headerRowDxfId="282">
  <autoFilter ref="C55:H60" xr:uid="{95C71A31-DD05-4EAE-9C81-DEAAC130AAE2}"/>
  <tableColumns count="6">
    <tableColumn id="1" xr3:uid="{77833802-6462-4DDB-B4D1-00BF36C7BE4A}" name="Water efficiency (ML)(1)" dataDxfId="281"/>
    <tableColumn id="3" xr3:uid="{2659D787-B733-4797-8821-86B3EE91E284}" name="FY2024" dataDxfId="280"/>
    <tableColumn id="2" xr3:uid="{7256C86E-DBB3-48B1-8AEF-F08CE037AFC6}" name="FY2023" dataDxfId="279"/>
    <tableColumn id="4" xr3:uid="{5F6D298A-6808-44EE-9E91-C22C53866E2D}" name="FY2022" dataDxfId="278"/>
    <tableColumn id="5" xr3:uid="{31A7391E-2212-4273-ACB9-CE66B45E83D4}" name="FY2021" dataDxfId="277"/>
    <tableColumn id="6" xr3:uid="{5F516A62-4BFF-43CD-927E-EF26915F0236}" name="FY2020" dataDxfId="276"/>
  </tableColumns>
  <tableStyleInfo name="TableStyleLight8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2B8D69-D696-43BC-88BC-2BB1F9DCA64E}" name="Table134" displayName="Table134" ref="C14:G17" totalsRowShown="0" headerRowDxfId="275" dataDxfId="274">
  <autoFilter ref="C14:G17" xr:uid="{60894915-E0CC-4A98-BCED-15B87A64129A}"/>
  <tableColumns count="5">
    <tableColumn id="1" xr3:uid="{82DD775D-84B6-46A8-B3F6-01CB72FC7342}" name="Non-Mineral Waste Generated (t)" dataDxfId="273" totalsRowDxfId="272"/>
    <tableColumn id="2" xr3:uid="{036BF486-30EB-4C67-ABF9-C9FA019F360D}" name="El Limon Complex" dataDxfId="271" totalsRowDxfId="270"/>
    <tableColumn id="3" xr3:uid="{9E9B3752-752B-4133-BE47-2DCFBE518893}" name="La Libertad Complex" dataDxfId="269" totalsRowDxfId="268"/>
    <tableColumn id="4" xr3:uid="{2C481D27-D6EB-4ECD-AB7C-8F5DCABF6F23}" name="Pan Mine" dataDxfId="267" totalsRowDxfId="266"/>
    <tableColumn id="5" xr3:uid="{AA35A117-84F0-45CA-9A4B-5FF8F5F4F56F}" name="Calibre" dataDxfId="265" totalsRowDxfId="264">
      <calculatedColumnFormula>SUM(Table134[[#This Row],[El Limon Complex]:[Pan Mine]])</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6BAE18D-802D-4FF0-9FAD-5AB1E5473C57}" name="Table13416" displayName="Table13416" ref="C24:G45" totalsRowShown="0" headerRowDxfId="263" dataDxfId="262">
  <autoFilter ref="C24:G45" xr:uid="{46BAE18D-802D-4FF0-9FAD-5AB1E5473C57}"/>
  <tableColumns count="5">
    <tableColumn id="1" xr3:uid="{3162B253-BBF3-4C12-9D58-D1ABDDBBB11E}" name="Non-Mineral Waste Diverted from Disposal (t)" dataDxfId="261"/>
    <tableColumn id="2" xr3:uid="{BA24609D-2CE9-46EC-A500-D0D259F18DB1}" name="El Limon Complex" dataDxfId="260">
      <calculatedColumnFormula>SUM(D26:D27)</calculatedColumnFormula>
    </tableColumn>
    <tableColumn id="3" xr3:uid="{5394E9D4-3D7E-441E-9703-5775EAA432CD}" name="La Libertad Complex" dataDxfId="259"/>
    <tableColumn id="4" xr3:uid="{210C6861-4F24-4C5A-83ED-F6397F68A5CB}" name="Pan Mine" dataDxfId="258"/>
    <tableColumn id="5" xr3:uid="{DA5D24F9-7E2B-47A6-856D-137209190176}" name="Calibre" dataDxfId="257">
      <calculatedColumnFormula>SUM(Table13416[[#This Row],[El Limon Complex]:[Pan Mine]])</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86BD01E-9A15-4E7B-8696-F9AB9D689406}" name="Table13417" displayName="Table13417" ref="C47:G74" totalsRowShown="0" headerRowDxfId="256" dataDxfId="255">
  <autoFilter ref="C47:G74" xr:uid="{A86BD01E-9A15-4E7B-8696-F9AB9D689406}"/>
  <tableColumns count="5">
    <tableColumn id="1" xr3:uid="{9297587F-0999-48DE-B4EA-C338498EF360}" name="Non-Mineral Waste Directed to Disposal (t)" dataDxfId="254"/>
    <tableColumn id="2" xr3:uid="{E58AFB87-4953-403C-98A0-BC4C92227D63}" name="El Limon Complex" dataDxfId="253"/>
    <tableColumn id="3" xr3:uid="{016215FC-508D-486F-AA3B-F72A61341869}" name="La Libertad Complex" dataDxfId="252"/>
    <tableColumn id="4" xr3:uid="{82409ABE-DDB2-4B9A-8088-4F1642BC110B}" name="Pan Mine" dataDxfId="251"/>
    <tableColumn id="5" xr3:uid="{0FCB2A88-3266-4DEC-8CBD-CB8C97F18E4B}" name="Calibre" dataDxfId="250">
      <calculatedColumnFormula>SUM(Table13417[[#This Row],[El Limon Complex]:[Pan Mine]])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39C4EF-7EA9-49B2-A52C-AC5664C935DE}" name="Table13418" displayName="Table13418" ref="C76:H88" totalsRowShown="0" headerRowDxfId="249" dataDxfId="248">
  <autoFilter ref="C76:H88" xr:uid="{2339C4EF-7EA9-49B2-A52C-AC5664C935DE}"/>
  <tableColumns count="6">
    <tableColumn id="1" xr3:uid="{F4FAEFC7-76E7-4DE5-9C81-EEADA27C2ABA}" name="Disclosure per Facility (a)" dataDxfId="247"/>
    <tableColumn id="2" xr3:uid="{9F95984A-3119-4812-9DF3-03FF97007F7C}" name="El Limon Complex &gt; San Jose" dataDxfId="246"/>
    <tableColumn id="3" xr3:uid="{B0E39DD4-C5C5-4E8C-BB3D-03BAAD7EFBC4}" name="El Limon Complex &gt; Santa Rosa" dataDxfId="245"/>
    <tableColumn id="4" xr3:uid="{EFEF90BD-1DC5-41CF-8A62-07ED40EC5A7F}" name="El Limon Complex &gt; Santa Rosa West" dataDxfId="244"/>
    <tableColumn id="5" xr3:uid="{3EDAE91F-853C-44DB-AFC4-700610B5CDE2}" name="La Libertad Complex  &gt; La Esperanza" dataDxfId="243">
      <calculatedColumnFormula>SUM(Table13418[[#This Row],[El Limon Complex &gt; San Jose]:[El Limon Complex &gt; Santa Rosa West]])</calculatedColumnFormula>
    </tableColumn>
    <tableColumn id="6" xr3:uid="{E63E4F29-8BF9-463A-8A38-08F00DFC98E5}" name="La Libertad Complex  &gt; Crimea" dataDxfId="24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DC16012-1DFA-4883-8AC3-2F182A1DB77B}" name="Table13463" displayName="Table13463" ref="C19:G22" totalsRowShown="0" headerRowDxfId="241" dataDxfId="240">
  <autoFilter ref="C19:G22" xr:uid="{DDC16012-1DFA-4883-8AC3-2F182A1DB77B}"/>
  <tableColumns count="5">
    <tableColumn id="1" xr3:uid="{4D978740-679F-49FF-9C82-9069EA2D8F6E}" name="Mineral Waste Generated (t)" dataDxfId="239" totalsRowDxfId="238"/>
    <tableColumn id="2" xr3:uid="{1569B328-2369-407F-A089-68BDD7F7DC2E}" name="El Limon Complex" dataDxfId="237" totalsRowDxfId="236"/>
    <tableColumn id="3" xr3:uid="{CDAB298E-E797-4D1F-A09C-53459855FE29}" name="La Libertad Complex" dataDxfId="235" totalsRowDxfId="234"/>
    <tableColumn id="4" xr3:uid="{1125C558-D39F-431E-AA24-84FA08E3BEBD}" name="Pan Mine" dataDxfId="233" totalsRowDxfId="232"/>
    <tableColumn id="5" xr3:uid="{337A1F77-A289-4CFC-8A0C-14697CE05FA1}" name="Calibre" dataDxfId="231" totalsRowDxfId="230">
      <calculatedColumnFormula>SUM(Table13463[[#This Row],[El Limon Complex]:[Pan Mine]])</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0FDBDF1-6342-4DD9-8B33-B5D1A43C80A1}" name="Table3137" displayName="Table3137" ref="C9:G12" totalsRowShown="0" headerRowDxfId="229" dataDxfId="228" totalsRowDxfId="226" tableBorderDxfId="227">
  <autoFilter ref="C9:G12" xr:uid="{80FDBDF1-6342-4DD9-8B33-B5D1A43C80A1}"/>
  <tableColumns count="5">
    <tableColumn id="1" xr3:uid="{E7351F72-C468-43A4-A6D8-475EC1EB66C5}" name="Waste Generated FY2024 (t)" dataDxfId="225" totalsRowDxfId="224"/>
    <tableColumn id="2" xr3:uid="{40E4E4F5-94E1-458B-BADC-8A7F8E9A4EFF}" name="El Limon Complex" dataDxfId="223" totalsRowDxfId="222">
      <calculatedColumnFormula>D18</calculatedColumnFormula>
    </tableColumn>
    <tableColumn id="3" xr3:uid="{A2BF1BDD-7376-4907-A9A4-E2BFC0D507B1}" name="La Libertad Complex" dataDxfId="221" totalsRowDxfId="220">
      <calculatedColumnFormula>E18</calculatedColumnFormula>
    </tableColumn>
    <tableColumn id="4" xr3:uid="{5C22A4D1-C258-4FD8-A2AB-EEEA94104F02}" name="Pan Mine" dataDxfId="219" totalsRowDxfId="218">
      <calculatedColumnFormula>F18</calculatedColumnFormula>
    </tableColumn>
    <tableColumn id="5" xr3:uid="{8BD4C014-294A-4375-8D23-BCB385FB0DC9}" name="Calibre" dataDxfId="217" totalsRowDxfId="216">
      <calculatedColumnFormula>G18</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3E7E59-6795-4CB1-8CD3-372B16DD55E1}" name="Table1345" displayName="Table1345" ref="C11:G25" totalsRowShown="0" headerRowDxfId="215" dataDxfId="214">
  <autoFilter ref="C11:G25" xr:uid="{60894915-E0CC-4A98-BCED-15B87A64129A}"/>
  <tableColumns count="5">
    <tableColumn id="1" xr3:uid="{7B705AD8-A1D2-4B05-B03C-25D79B0493AB}" name="Energy Consumption FY2024 (GJ)(1)" dataDxfId="213"/>
    <tableColumn id="2" xr3:uid="{029F5555-3160-4847-928F-E061ECF3FA04}" name="El Limon Complex" dataDxfId="212"/>
    <tableColumn id="3" xr3:uid="{A8DF3E2B-AA26-4BA1-A680-0FD3EB646710}" name="La Libertad Complex" dataDxfId="211"/>
    <tableColumn id="4" xr3:uid="{59AD322C-81DA-4C6C-BB7B-36884A4EC179}" name="Pan Mine" dataDxfId="210"/>
    <tableColumn id="5" xr3:uid="{F3407AF2-89A6-4B0B-9E32-AEC1E76CD5E9}" name="Calibre" dataDxfId="209">
      <calculatedColumnFormula>SUM(Table1345[[#This Row],[El Limon Complex]:[Pan Mine]])</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B14941-E385-4404-AA31-1D5328ABFB77}" name="Table13456" displayName="Table13456" ref="C28:G31" totalsRowCount="1" headerRowDxfId="208" dataDxfId="207">
  <autoFilter ref="C28:G30" xr:uid="{E5B14941-E385-4404-AA31-1D5328ABFB77}"/>
  <tableColumns count="5">
    <tableColumn id="1" xr3:uid="{AE9DA175-F93F-4E2B-842C-621EAE7EBB69}" name="Energy Intensity FY2024 (GJ / Au oz)" totalsRowLabel="Energy Intensity (GJ / Au oz)" dataDxfId="206" totalsRowDxfId="205"/>
    <tableColumn id="2" xr3:uid="{455197FD-2B33-4198-9F95-10A6740CC3AC}" name="El Limon Complex" totalsRowFunction="custom" dataDxfId="204" totalsRowDxfId="203">
      <calculatedColumnFormula>D12</calculatedColumnFormula>
      <totalsRowFormula>D29/D30</totalsRowFormula>
    </tableColumn>
    <tableColumn id="3" xr3:uid="{011137EE-6F3C-44B0-A36C-493BE9338972}" name="La Libertad Complex" totalsRowFunction="custom" dataDxfId="202" totalsRowDxfId="201">
      <totalsRowFormula>E29/E30</totalsRowFormula>
    </tableColumn>
    <tableColumn id="4" xr3:uid="{82764BA7-B943-46AD-823D-39B03723E793}" name="Pan Mine" totalsRowFunction="custom" dataDxfId="200" totalsRowDxfId="199">
      <totalsRowFormula>F29/F30</totalsRowFormula>
    </tableColumn>
    <tableColumn id="5" xr3:uid="{216A7BBD-2BC6-45B7-8C52-AEEB6EB7694B}" name="Calibre" totalsRowFunction="custom" dataDxfId="198" totalsRowDxfId="197">
      <calculatedColumnFormula>SUM(Table13456[[#This Row],[El Limon Complex]:[Pan Mine]])</calculatedColumnFormula>
      <totalsRowFormula>G29/G30</totalsRowFormula>
    </tableColum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DD09A3-DEDD-4F61-AFD1-2A08DD04D6C4}" name="Table134567" displayName="Table134567" ref="C33:G34" headerRowDxfId="196" dataDxfId="195">
  <autoFilter ref="C33:G34" xr:uid="{7BDD09A3-DEDD-4F61-AFD1-2A08DD04D6C4}"/>
  <tableColumns count="5">
    <tableColumn id="1" xr3:uid="{78DF7945-5180-4778-A52B-41401768DF0B}" name="Direct (Scope 1) GHG Emissions FY2024 (tCO2-e)(1)" totalsRowLabel="Total" dataDxfId="194" totalsRowDxfId="193"/>
    <tableColumn id="2" xr3:uid="{E6C726C1-7645-48BE-ABD2-1DA49073BCEC}" name="El Limon Complex" totalsRowFunction="sum" dataDxfId="192" totalsRowDxfId="191"/>
    <tableColumn id="3" xr3:uid="{075EC5BC-731C-4E46-9B80-CFA7F4C9055F}" name="La Libertad Complex" totalsRowFunction="sum" dataDxfId="190" totalsRowDxfId="189"/>
    <tableColumn id="4" xr3:uid="{B519EC58-5626-49E6-B746-30E21156B22C}" name="Pan Mine" totalsRowFunction="sum" dataDxfId="188" totalsRowDxfId="187"/>
    <tableColumn id="5" xr3:uid="{77FB54BE-D082-416B-B344-B00525BC118C}" name="Calibre" totalsRowFunction="sum" dataDxfId="186" totalsRowDxfId="185">
      <calculatedColumnFormula>SUM(Table134567[[#This Row],[El Limon Complex]:[Pan Mine]])</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13B647C-1264-46E6-8F82-5C634E9DBAF7}" name="Table13456727" displayName="Table13456727" ref="C37:G39" headerRowDxfId="184" dataDxfId="183">
  <autoFilter ref="C37:G39" xr:uid="{F13B647C-1264-46E6-8F82-5C634E9DBAF7}"/>
  <tableColumns count="5">
    <tableColumn id="1" xr3:uid="{3475088D-9CDC-496E-8843-1FD2BCB1F485}" name="Energy indirect (Scope 2) GHG Emissions FY2024 (tCO2-e)(1)" totalsRowLabel="Total" dataDxfId="182" totalsRowDxfId="181"/>
    <tableColumn id="2" xr3:uid="{8F026A25-F7CE-48F9-A99A-375716D1B6EC}" name="El Limon Complex" totalsRowFunction="sum" dataDxfId="180" totalsRowDxfId="179"/>
    <tableColumn id="3" xr3:uid="{CBE5FB72-EA87-4A4A-B531-C0E52140EC2F}" name="La Libertad Complex" totalsRowFunction="sum" dataDxfId="178" totalsRowDxfId="177"/>
    <tableColumn id="4" xr3:uid="{B1A20F9B-0672-4C68-8E13-FA77D1154713}" name="Pan Mine" totalsRowFunction="sum" dataDxfId="176" totalsRowDxfId="175"/>
    <tableColumn id="5" xr3:uid="{8D61BC76-A0AA-447F-9D78-8A96670B56E8}" name="Calibre" totalsRowFunction="sum" dataDxfId="174" totalsRowDxfId="173">
      <calculatedColumnFormula>SUM(Table13456727[[#This Row],[El Limon Complex]:[Pan Mine]])</calculatedColumnFormula>
    </tableColumn>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EC76370-0D17-4F1D-ACB1-775A3E0C78E2}" name="Table134567831" displayName="Table134567831" ref="C42:G45" totalsRowCount="1" headerRowDxfId="172" dataDxfId="171">
  <autoFilter ref="C42:G44" xr:uid="{AEC76370-0D17-4F1D-ACB1-775A3E0C78E2}"/>
  <tableColumns count="5">
    <tableColumn id="1" xr3:uid="{D67C9483-AD52-4A26-B332-42167210C0A8}" name="GHG Emissions Intensity FY2024 (tCO2-e / Au oz)" totalsRowLabel="GHG Emissions Intensity (tCO2-e / Au oz)" dataDxfId="170" totalsRowDxfId="169"/>
    <tableColumn id="2" xr3:uid="{3E1CD4F2-B8DB-4DB8-9E9E-697AB11BAC78}" name="El Limon Complex" totalsRowFunction="custom" dataDxfId="168" totalsRowDxfId="167">
      <totalsRowFormula>D43/D44</totalsRowFormula>
    </tableColumn>
    <tableColumn id="3" xr3:uid="{C5F9811F-D4D2-4AD2-83E6-428A1CECBF2F}" name="La Libertad Complex" totalsRowFunction="custom" dataDxfId="166" totalsRowDxfId="165">
      <totalsRowFormula>E43/E44</totalsRowFormula>
    </tableColumn>
    <tableColumn id="4" xr3:uid="{C6E80A2C-0177-4AA6-9AC6-3658D683F6A5}" name="Pan Mine" totalsRowFunction="custom" dataDxfId="164" totalsRowDxfId="163">
      <totalsRowFormula>F43/F44</totalsRowFormula>
    </tableColumn>
    <tableColumn id="5" xr3:uid="{279ADB9A-ED78-473D-AEB7-E3452A01B188}" name="Calibre" totalsRowFunction="custom" dataDxfId="162" totalsRowDxfId="161">
      <calculatedColumnFormula>SUM(Table134567831[[#This Row],[El Limon Complex]:[Pan Mine]])</calculatedColumnFormula>
      <totalsRowFormula>G43/G44</totalsRow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EF5C429-631D-40F6-AFCC-88D6CCDDF559}" name="Table13456789" displayName="Table13456789" ref="C47:F62" headerRowDxfId="160" dataDxfId="159">
  <autoFilter ref="C47:F62" xr:uid="{0EF5C429-631D-40F6-AFCC-88D6CCDDF559}"/>
  <sortState xmlns:xlrd2="http://schemas.microsoft.com/office/spreadsheetml/2017/richdata2" ref="C48:F62">
    <sortCondition ref="C47:C62"/>
  </sortState>
  <tableColumns count="4">
    <tableColumn id="1" xr3:uid="{9D43B789-921D-41A9-8601-0AF9571B6742}" name="Significant Air Emissions (t)(1)" totalsRowLabel="Total" dataDxfId="158" totalsRowDxfId="157"/>
    <tableColumn id="2" xr3:uid="{D5EB11FB-CB38-4B94-AF64-E4D7ACDD9B34}" name="El Limon Complex" dataDxfId="156" totalsRowDxfId="155"/>
    <tableColumn id="3" xr3:uid="{5483C182-41E5-4999-BAE4-E9375D211751}" name="La Libertad Complex(2)" totalsRowFunction="sum" dataDxfId="154" totalsRowDxfId="153"/>
    <tableColumn id="4" xr3:uid="{B8F966E9-BC0C-40F9-9832-139A7C8A589C}" name="Pan Mine" totalsRowFunction="sum" dataDxfId="152" totalsRowDxfId="151"/>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2793753-C97C-4FBE-9AB4-6404977909AE}" name="Table134101114242730" displayName="Table134101114242730" ref="C52:E76" totalsRowShown="0" headerRowDxfId="150" dataDxfId="149">
  <autoFilter ref="C52:E76" xr:uid="{740EA225-25D6-4619-8D27-FEE4FE7DD51E}"/>
  <tableColumns count="3">
    <tableColumn id="1" xr3:uid="{F4487319-5B51-4D4B-A810-DE178CD25A7E}" name="New Employee Hires and Employee Turnover FY2024" dataDxfId="148"/>
    <tableColumn id="5" xr3:uid="{3B5B5BF6-5D9C-45D7-971A-1C55078DF42D}" name="Total Number" dataDxfId="147">
      <calculatedColumnFormula>SUM(#REF!)</calculatedColumnFormula>
    </tableColumn>
    <tableColumn id="9" xr3:uid="{5F5D783F-243D-420D-8E2A-719FBFABDFE3}" name="Rate" dataDxfId="146">
      <calculatedColumnFormula>Table134101114242730[[#This Row],[Total Number]]/1133</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508E6D5-DC43-4D11-B405-F8D1C0E2E0EB}" name="Table60" displayName="Table60" ref="C18:J24" totalsRowShown="0" headerRowDxfId="145" dataDxfId="144" tableBorderDxfId="143">
  <autoFilter ref="C18:J24" xr:uid="{8508E6D5-DC43-4D11-B405-F8D1C0E2E0EB}"/>
  <tableColumns count="8">
    <tableColumn id="1" xr3:uid="{0D73289E-F910-473A-B696-C1C1CBFFE4E2}" name="Number of Employees FY2024 (Head-count)(1)" dataDxfId="142"/>
    <tableColumn id="2" xr3:uid="{6604D08C-6C5D-4543-8FC2-6510DECE32A1}" name="Total" dataDxfId="141"/>
    <tableColumn id="3" xr3:uid="{ED09BC43-03DF-4210-878F-0805742D01A8}" name="Male" dataDxfId="140"/>
    <tableColumn id="4" xr3:uid="{107B1D7E-FC98-4403-9E87-91A7DF25B434}" name="Female" dataDxfId="139"/>
    <tableColumn id="5" xr3:uid="{94868ECB-751B-4A3E-87F7-D0E8556A68BB}" name="National, local(2)" dataDxfId="138"/>
    <tableColumn id="6" xr3:uid="{B1ECA9CD-CC8E-486F-91E0-D63E118801AF}" name="National, non-local(3)" dataDxfId="137"/>
    <tableColumn id="7" xr3:uid="{CAEB161C-CAC4-40B9-84CF-CC8E9EF33F6D}" name="Total National(4)" dataDxfId="136"/>
    <tableColumn id="8" xr3:uid="{49086135-B556-4E8B-9D56-1E8D9E8E1A1B}" name="Foreign" dataDxfId="135"/>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25629F4-C660-40CD-ABEB-CE97DF9FA68B}" name="Table134101323262952" displayName="Table134101323262952" ref="C44:F49" totalsRowShown="0" headerRowDxfId="134" dataDxfId="133">
  <autoFilter ref="C44:F49" xr:uid="{F25629F4-C660-40CD-ABEB-CE97DF9FA68B}"/>
  <tableColumns count="4">
    <tableColumn id="1" xr3:uid="{23970AE4-08F9-4B66-8DDF-7B0B192E7780}" name="Ratio of Basic Salary and Remuneration of Women to Men by Employee Category FY2024" dataDxfId="132"/>
    <tableColumn id="3" xr3:uid="{EC52674C-9BF9-4373-9668-136D855E7DC8}" name="El Limon Complex" dataDxfId="131"/>
    <tableColumn id="5" xr3:uid="{4C930942-C6F8-4B95-82D2-41F7F0E798D4}" name="La Libertad Complex" dataDxfId="130"/>
    <tableColumn id="4" xr3:uid="{DF54DEA9-FB50-417B-B110-B6FA15D58E19}" name="Pan Mine" dataDxfId="129"/>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2786433-CB71-4DF4-982E-905A787552B0}" name="Table1341013232629" displayName="Table1341013232629" ref="C35:H41" totalsRowShown="0" headerRowDxfId="128" dataDxfId="127">
  <autoFilter ref="C35:H41" xr:uid="{60894915-E0CC-4A98-BCED-15B87A64129A}"/>
  <tableColumns count="6">
    <tableColumn id="1" xr3:uid="{BF16AB3D-AD17-4550-A33B-2AEB866E8D17}" name="Employees per Category by Diversity Category FY2024 (%)" dataDxfId="126"/>
    <tableColumn id="2" xr3:uid="{E2FA8A42-236E-46EC-B6B0-AF33DE04EDA5}" name="Male" dataDxfId="125"/>
    <tableColumn id="3" xr3:uid="{C5614863-1CA7-4D3F-B772-5409642DB14A}" name="Female" dataDxfId="124"/>
    <tableColumn id="4" xr3:uid="{7A9128AA-905C-4333-BDBE-3C8EE5E187AD}" name="&lt; 30" dataDxfId="123"/>
    <tableColumn id="5" xr3:uid="{A8C09505-201E-4D92-9F6A-066344B45C85}" name="30 to 50" dataDxfId="122"/>
    <tableColumn id="6" xr3:uid="{1CCE0A5D-1CE2-43BE-99F2-8D950962A7A7}" name="&gt;50" dataDxfId="121"/>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111899-80E3-4A62-B337-088DCF679F1A}" name="Table9" displayName="Table9" ref="C78:F84" totalsRowShown="0" headerRowDxfId="120" dataDxfId="119">
  <autoFilter ref="C78:F84" xr:uid="{DA111899-80E3-4A62-B337-088DCF679F1A}"/>
  <tableColumns count="4">
    <tableColumn id="1" xr3:uid="{4D975C1A-2F22-488B-8BA0-022D05AA7E2C}" name="Parental Leave FY2024" dataDxfId="118"/>
    <tableColumn id="2" xr3:uid="{4A737C8C-682E-4330-BD40-59B8244A6586}" name="Male" dataDxfId="117"/>
    <tableColumn id="3" xr3:uid="{BAA15FAC-B9CA-45D0-A520-54A0FE3F8F64}" name="Female" dataDxfId="116"/>
    <tableColumn id="4" xr3:uid="{32691FE2-6736-4BC0-A29A-3ED98E45E76E}" name="Total" dataDxfId="115">
      <calculatedColumnFormula>SUM(Table9[[#This Row],[Male]:[Female]])</calculatedColumnFormula>
    </tableColumn>
  </tableColumns>
  <tableStyleInfo name="TableStyleLight8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C47518-5F4B-4288-A611-94AE39AD2A73}" name="Table11" displayName="Table11" ref="C12:E15" totalsRowShown="0" headerRowDxfId="114" dataDxfId="113">
  <autoFilter ref="C12:E15" xr:uid="{EEC47518-5F4B-4288-A611-94AE39AD2A73}"/>
  <tableColumns count="3">
    <tableColumn id="1" xr3:uid="{23811325-7584-4316-AF9A-BABFC4665114}" name="Workforce FY2024" dataDxfId="112"/>
    <tableColumn id="2" xr3:uid="{77A26FC0-6281-46AD-B152-850693DBEB72}" name="Number" dataDxfId="111">
      <calculatedColumnFormula>SUM(D14:D15)</calculatedColumnFormula>
    </tableColumn>
    <tableColumn id="3" xr3:uid="{28F05312-B94F-4335-A7D9-58A02A9B5160}" name="Percentage" dataDxfId="110"/>
  </tableColumns>
  <tableStyleInfo name="TableStyleLight8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863C48-B262-4D32-ACD4-A928A8B870AB}" name="Table19" displayName="Table19" ref="C27:D32" totalsRowShown="0" headerRowDxfId="109" dataDxfId="108">
  <autoFilter ref="C27:D32" xr:uid="{EA863C48-B262-4D32-ACD4-A928A8B870AB}"/>
  <tableColumns count="2">
    <tableColumn id="1" xr3:uid="{96D4A4AA-B51B-4BA9-A272-27E9946F24DB}" name="Workers Who are Not Employees FY2024" dataDxfId="107"/>
    <tableColumn id="2" xr3:uid="{873E9359-3B39-42AB-9196-254ED85B7433}" name="Disclosure" dataDxfId="106"/>
  </tableColumns>
  <tableStyleInfo name="TableStyleLight8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700FF8-5FB1-436D-9437-703DB37C628C}" name="Table13410111424273033" displayName="Table13410111424273033" ref="C7:G25" totalsRowShown="0" headerRowDxfId="105" dataDxfId="104">
  <autoFilter ref="C7:G25" xr:uid="{740EA225-25D6-4619-8D27-FEE4FE7DD51E}"/>
  <tableColumns count="5">
    <tableColumn id="1" xr3:uid="{B4C15405-2F71-4D94-A190-3A2B4B835A0B}" name="Work-Related Injuries FY2024" dataDxfId="103"/>
    <tableColumn id="2" xr3:uid="{42469A9C-BE96-495E-AD65-72C5F901A413}" name="El Limon Complex" dataDxfId="102"/>
    <tableColumn id="3" xr3:uid="{C488E5F9-EB8B-4426-9099-82B03FE3915B}" name="La Libertad Complex" dataDxfId="101"/>
    <tableColumn id="4" xr3:uid="{9819F14F-5315-4BD8-8CC3-96ABB1B2A4AF}" name="Pan Mine" dataDxfId="100"/>
    <tableColumn id="5" xr3:uid="{C64EA31B-77AF-43A3-9E68-A17DB3AC1DB4}" name="Calibre" dataDxfId="99">
      <calculatedColumnFormula>SUM(Table13410111424273033[[#This Row],[El Limon Complex]:[Pan Mine]])</calculatedColumnFormula>
    </tableColumn>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EB7F9B7-3882-4FAE-AE3F-48B0A483610D}" name="Table13410121525283134" displayName="Table13410121525283134" ref="C30:G38" totalsRowShown="0" headerRowDxfId="98" dataDxfId="97">
  <autoFilter ref="C30:G38" xr:uid="{3909BAD1-8FB6-4915-A479-5143559F8DBF}"/>
  <tableColumns count="5">
    <tableColumn id="1" xr3:uid="{91F0CB66-1B57-4F09-8CFC-92727B1FE0BB}" name="Work-Related Ill Health(1)" dataDxfId="96"/>
    <tableColumn id="2" xr3:uid="{784556AA-BFD1-4B00-B1AE-DE1460E19192}" name="El Limon Complex" dataDxfId="95"/>
    <tableColumn id="3" xr3:uid="{EC290FEF-0311-4CAD-B35E-CD93E4949803}" name="La Libertad Complex" dataDxfId="94"/>
    <tableColumn id="4" xr3:uid="{6879729D-C796-49AD-9F9C-F0825C17DAF6}" name="Pan Mine" dataDxfId="93"/>
    <tableColumn id="5" xr3:uid="{8E17837D-5970-44D5-A0F0-F661B7AEE2B5}" name="Calibre" dataDxfId="92">
      <calculatedColumnFormula>SUM(Table13410121525283134[[#This Row],[El Limon Complex]:[Pan Mine]])</calculatedColumnFormula>
    </tableColum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2FB41DE-A34E-4747-AC2C-2CF9F9106E38}" name="Table13410132326293235" displayName="Table13410132326293235" ref="C20:F23" totalsRowShown="0" headerRowDxfId="91" dataDxfId="90">
  <autoFilter ref="C20:F23" xr:uid="{60894915-E0CC-4A98-BCED-15B87A64129A}"/>
  <tableColumns count="4">
    <tableColumn id="1" xr3:uid="{265CBBD7-E6D0-42C4-B964-B1043B99FAD7}" name="Significant Actual and Potential Negative Impacts on Local Communities FY2024" dataDxfId="89"/>
    <tableColumn id="2" xr3:uid="{06B77D11-3B49-4100-9AFA-06BFA4232863}" name="El Limon Complex" dataDxfId="88"/>
    <tableColumn id="3" xr3:uid="{8EAAB845-251A-46EF-A7C4-CB0BC41A7A8E}" name="La Libertad Complex" dataDxfId="87"/>
    <tableColumn id="4" xr3:uid="{1C537AF0-1E95-4A3A-B570-AF10BE27DDF4}" name="Pan Mine" dataDxfId="86"/>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DF8A0B5-6BB6-42E7-BB8A-A01ADC770E4D}" name="Table1341011142427303336" displayName="Table1341011142427303336" ref="C25:F29" totalsRowShown="0" headerRowDxfId="85" dataDxfId="84">
  <autoFilter ref="C25:F29" xr:uid="{740EA225-25D6-4619-8D27-FEE4FE7DD51E}"/>
  <tableColumns count="4">
    <tableColumn id="1" xr3:uid="{75A5FCDD-5CAE-4E24-AD99-7C2F49A473E2}" name="Grievances from Local Communities" dataDxfId="83"/>
    <tableColumn id="2" xr3:uid="{35E807B3-850F-4E4C-AAC2-B3F4DECF3959}" name="El Limon Complex" dataDxfId="82"/>
    <tableColumn id="3" xr3:uid="{044DD87F-D40A-479F-AF41-EAF86F0DBDA3}" name="La Libertad Complex" dataDxfId="81"/>
    <tableColumn id="4" xr3:uid="{7C886067-F8AB-40AD-833B-3B5408BFCD75}" name="Pan Mine" dataDxfId="80"/>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7219FC0-3D82-4D43-8884-4A6FCBBDC4A6}" name="Table14" displayName="Table14" ref="C8:D17" totalsRowShown="0" headerRowDxfId="79" dataDxfId="78">
  <autoFilter ref="C8:D17" xr:uid="{87219FC0-3D82-4D43-8884-4A6FCBBDC4A6}"/>
  <tableColumns count="2">
    <tableColumn id="1" xr3:uid="{20EE5EB6-23DA-4411-BA94-BC098D7291E0}" name="Operations with local community engagement, impact assessments, and development programs" dataDxfId="77"/>
    <tableColumn id="5" xr3:uid="{3CBC1ED1-7E94-48EE-8C95-D43A604A0115}" name="Percentage of operations FY2024 (%)" dataDxfId="76">
      <calculatedColumnFormula>2/3</calculatedColumnFormula>
    </tableColumn>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1086760-C696-4F0C-BB0F-9EDF34AAB105}" name="Table1341013232629323538" displayName="Table1341013232629323538" ref="C7:F14" totalsRowShown="0" headerRowDxfId="75" dataDxfId="74">
  <autoFilter ref="C7:F14" xr:uid="{60894915-E0CC-4A98-BCED-15B87A64129A}"/>
  <tableColumns count="4">
    <tableColumn id="1" xr3:uid="{93C9365F-83DA-421C-9CA5-0A1C47938E8B}" name="Involuntary Resettlement FY2024" dataDxfId="73"/>
    <tableColumn id="2" xr3:uid="{53BBCFF0-F9AB-46E9-B5EB-F91C6007A2E9}" name="El Limon Complex" dataDxfId="72"/>
    <tableColumn id="3" xr3:uid="{CDF3E57B-F2B7-4279-A8EE-ADC5024358CC}" name="La Libertad Complex" dataDxfId="71"/>
    <tableColumn id="4" xr3:uid="{EC1B5A83-95F6-4986-A23C-0783949220B5}" name="Pan Mine" dataDxfId="70"/>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81A625A-EAB0-4999-82C9-5B530EAB1CA0}" name="Good_quality_water323" displayName="Good_quality_water323" ref="C16:D19" totalsRowShown="0" headerRowDxfId="69" dataDxfId="68">
  <autoFilter ref="C16:D19" xr:uid="{981A625A-EAB0-4999-82C9-5B530EAB1CA0}"/>
  <tableColumns count="2">
    <tableColumn id="1" xr3:uid="{B91F578B-F9FF-4F6E-88D3-B429E46155E1}" name="Water pollution avoided due to ASM Ore Purchase Program(1)" dataDxfId="67"/>
    <tableColumn id="3" xr3:uid="{6E3F8B36-9843-477F-BC0C-EA8D1A8E7306}" name="Total FY2024" dataDxfId="66"/>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2F0BE7D-6F44-4E94-9E79-1F967F484374}" name="Table1341012152528313437404344" displayName="Table1341012152528313437404344" ref="C46:G49" totalsRowShown="0" headerRowDxfId="65" dataDxfId="64">
  <autoFilter ref="C46:G49" xr:uid="{12F0BE7D-6F44-4E94-9E79-1F967F484374}"/>
  <tableColumns count="5">
    <tableColumn id="1" xr3:uid="{7C71BFBC-0AA4-4F69-8689-ED0F388868C3}" name="Proportion of Spending on Local(1) Suppliers FY2024" dataDxfId="63"/>
    <tableColumn id="2" xr3:uid="{FBDF5DE3-E487-4034-8708-7FAC2EE85AFF}" name="El Limon Complex" dataDxfId="62"/>
    <tableColumn id="3" xr3:uid="{B1861AE2-02F7-4B94-8346-7A7BB89CF8D1}" name="La Libertad Complex" dataDxfId="61"/>
    <tableColumn id="4" xr3:uid="{3F5FA3A2-E449-4DCE-A5A8-42046391BB28}" name="Pan Mine" dataDxfId="60"/>
    <tableColumn id="5" xr3:uid="{C39BD28C-ED24-4980-8C41-3C4EEE2BC515}" name="Calibre" dataDxfId="59"/>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C71A066-5A7C-4143-82EF-ECEE01C69F3F}" name="Table134101353" displayName="Table134101353" ref="C12:I21" totalsRowShown="0" headerRowDxfId="58" dataDxfId="57">
  <autoFilter ref="C12:I21" xr:uid="{4C71A066-5A7C-4143-82EF-ECEE01C69F3F}"/>
  <tableColumns count="7">
    <tableColumn id="1" xr3:uid="{6ABBF132-012A-4CAD-BD08-DC20B70241E4}" name="Direct Economic Value Generated and Distributed FY2024 ($US Millions)" dataDxfId="56"/>
    <tableColumn id="2" xr3:uid="{2DDD9B34-FB8A-4C92-99EA-989E3611A92D}" name="Nicaragua" dataDxfId="55"/>
    <tableColumn id="3" xr3:uid="{1D0D4D2B-D5FC-4C9C-A6BE-DE3BB34D46D1}" name="Nevada" dataDxfId="54"/>
    <tableColumn id="4" xr3:uid="{FFE3B2A4-CB72-4D15-98EC-C20533F1E711}" name="Valentine Mine" dataDxfId="53"/>
    <tableColumn id="5" xr3:uid="{72A08D77-621A-46D8-BE63-6662878AFF90}" name="Exploration" dataDxfId="52"/>
    <tableColumn id="6" xr3:uid="{924050B1-F70B-4D29-9571-72D26E1594B1}" name="Head Office" dataDxfId="51"/>
    <tableColumn id="7" xr3:uid="{CED603B6-FFBA-4399-807D-A25D6C572D9B}" name="Calibre" dataDxfId="50">
      <calculatedColumnFormula>SUM(Table134101353[[#This Row],[Nicaragua]:[Head Office]])</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0322740-753E-4427-B159-0D7037BED814}" name="Table13410121525283134374043444549" displayName="Table13410121525283134374043444549" ref="C64:D67" totalsRowShown="0" headerRowDxfId="49" dataDxfId="48">
  <autoFilter ref="C64:D67" xr:uid="{E0322740-753E-4427-B159-0D7037BED814}"/>
  <tableColumns count="2">
    <tableColumn id="1" xr3:uid="{6D0EB46D-47D0-4781-8712-3EE9EB1E2843}" name="Senior Management Hired from the Local Community (%)(1)" dataDxfId="47"/>
    <tableColumn id="5" xr3:uid="{A88ED157-3780-416E-8B1E-FFD2DD01336C}" name="Calibre" dataDxfId="4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D067EA4-CE7B-4158-85C1-659AE7AE7126}" name="Table25" displayName="Table25" ref="C24:I34" headerRowDxfId="45" dataDxfId="44" tableBorderDxfId="43">
  <autoFilter ref="C24:I34" xr:uid="{6D067EA4-CE7B-4158-85C1-659AE7AE7126}"/>
  <tableColumns count="7">
    <tableColumn id="1" xr3:uid="{EB1DB85E-E236-4410-9D43-FFBFE2801298}" name="Infrastructure Investments and Services Supported FY2024" totalsRowLabel="Total" dataDxfId="42" totalsRowDxfId="41"/>
    <tableColumn id="2" xr3:uid="{98FFDABC-C15A-4EB7-8519-F687F199AA38}" name="Location" dataDxfId="40" totalsRowDxfId="39"/>
    <tableColumn id="3" xr3:uid="{B2CCED09-FEED-4DB6-8C22-4BB92768D5C2}" name="Type" dataDxfId="38" totalsRowDxfId="37"/>
    <tableColumn id="4" xr3:uid="{76B80F61-E946-48E2-9DEC-D5834797BBF7}" name="Cost (USD$)" totalsRowFunction="sum" dataDxfId="36" totalsRowDxfId="35"/>
    <tableColumn id="5" xr3:uid="{0892834C-0C81-4E48-824B-CC389CF70346}" name="Beneficiaries (#)" dataDxfId="34" totalsRowDxfId="33">
      <calculatedColumnFormula>SUM(#REF!)</calculatedColumnFormula>
    </tableColumn>
    <tableColumn id="6" xr3:uid="{0FE3D376-7D4B-4E62-B52F-DD22B2289786}" name="Expected Impacts" dataDxfId="32" totalsRowDxfId="31"/>
    <tableColumn id="7" xr3:uid="{6B5DEDC0-62EE-4C35-A529-2CE77FCCD99C}" name="Community Needs Assessment Conducted?" totalsRowFunction="count" dataDxfId="30" totalsRowDxfId="29"/>
  </tableColumns>
  <tableStyleInfo name="TableStyleLight8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0EA225-25D6-4619-8D27-FEE4FE7DD51E}" name="Table1341011" displayName="Table1341011" ref="C17:D27" totalsRowShown="0" headerRowDxfId="28" dataDxfId="27">
  <autoFilter ref="C17:D27" xr:uid="{740EA225-25D6-4619-8D27-FEE4FE7DD51E}"/>
  <tableColumns count="2">
    <tableColumn id="1" xr3:uid="{3D703D12-DD6C-45EA-8D3A-07970D9034A6}" name="Compliance with Laws and Regulations FY2024" dataDxfId="26"/>
    <tableColumn id="2" xr3:uid="{35296F31-6795-409B-8003-7018970C1658}" name="Total Calibre" dataDxfId="25"/>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F51DA71-9778-4D93-8DFA-0309118BA717}" name="Table134101215252831343740434445495051" displayName="Table134101215252831343740434445495051" ref="C7:E14" totalsRowShown="0" headerRowDxfId="24" dataDxfId="23">
  <autoFilter ref="C7:E14" xr:uid="{5F51DA71-9778-4D93-8DFA-0309118BA717}"/>
  <tableColumns count="3">
    <tableColumn id="1" xr3:uid="{BF7E9D2E-BD29-49B1-88B1-30CEBFAA8221}" name="Diversity of Governance Bodies FY2024 (%)" dataDxfId="22"/>
    <tableColumn id="2" xr3:uid="{4BDFDF56-42FE-4969-9F07-04AF41FDF207}" name="Board of Directors" dataDxfId="21"/>
    <tableColumn id="3" xr3:uid="{E7118502-A839-418E-B08C-83C9952C24F3}" name="Executive Leadership Team" dataDxfId="20"/>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DB93B0D-5FAF-4BBF-8476-7980599052D9}" name="Table13410132326" displayName="Table13410132326" ref="C3:G6" totalsRowShown="0" headerRowDxfId="19" dataDxfId="18">
  <autoFilter ref="C3:G6" xr:uid="{60894915-E0CC-4A98-BCED-15B87A64129A}"/>
  <tableColumns count="5">
    <tableColumn id="1" xr3:uid="{958F844D-0559-45B8-A000-871E9D27AABF}" name="Security Personnel Trained in Human Rights" dataDxfId="17"/>
    <tableColumn id="2" xr3:uid="{6A3B9156-B4FA-4BE0-8E82-3D87D00A26DE}" name="El Limon Complex" dataDxfId="16"/>
    <tableColumn id="3" xr3:uid="{B42FA8B3-0410-4279-B054-5A8D7346ADFC}" name="La Libertad Complex" dataDxfId="15">
      <calculatedColumnFormula>87+47</calculatedColumnFormula>
    </tableColumn>
    <tableColumn id="4" xr3:uid="{64301FF8-EE5A-413E-8ABA-AD39CDD414CA}" name="Pan Mine" dataDxfId="14"/>
    <tableColumn id="5" xr3:uid="{EF018AD7-9EC3-4D16-84C2-28DE6654FE26}" name="Total" dataDxfId="13">
      <calculatedColumnFormula>SUM(Table13410132326[[#This Row],[El Limon Complex]:[Pan Mine]])</calculatedColumnFormula>
    </tableColumn>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1B25877-325A-4B14-98EE-E5DF2381C3AF}" name="Table55" displayName="Table55" ref="C3:I45" totalsRowShown="0" headerRowDxfId="12" dataDxfId="11">
  <autoFilter ref="C3:I45" xr:uid="{E1B25877-325A-4B14-98EE-E5DF2381C3AF}"/>
  <tableColumns count="7">
    <tableColumn id="1" xr3:uid="{0258F53F-0057-4B59-987F-763D72F9FD56}" name="Sector" dataDxfId="10"/>
    <tableColumn id="2" xr3:uid="{70FD4C69-96F4-43B4-A831-62A6392BE180}" name="Topic" dataDxfId="9"/>
    <tableColumn id="3" xr3:uid="{845AC724-1DAA-4591-9A35-181796765AFE}" name="Site(s)" dataDxfId="8"/>
    <tableColumn id="4" xr3:uid="{7D637A87-D677-463D-AB70-A7A92646C299}" name="Targets FY2024" dataDxfId="7"/>
    <tableColumn id="5" xr3:uid="{37182BC2-7FED-4950-8C49-F2EA8426B3ED}" name="Status for YE2024" dataDxfId="6"/>
    <tableColumn id="6" xr3:uid="{37FCBD4F-52AD-4E80-9EDC-49B800F0B7D5}" name="2024 Performance" dataDxfId="5"/>
    <tableColumn id="7" xr3:uid="{C06B7AD7-89F8-4129-9620-C5C9EC4BA726}" name="Targets FY2025"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Calibre">
      <a:dk1>
        <a:srgbClr val="002E5D"/>
      </a:dk1>
      <a:lt1>
        <a:sysClr val="window" lastClr="FFFFFF"/>
      </a:lt1>
      <a:dk2>
        <a:srgbClr val="002E5D"/>
      </a:dk2>
      <a:lt2>
        <a:srgbClr val="E7E6E6"/>
      </a:lt2>
      <a:accent1>
        <a:srgbClr val="002E5D"/>
      </a:accent1>
      <a:accent2>
        <a:srgbClr val="F93822"/>
      </a:accent2>
      <a:accent3>
        <a:srgbClr val="0070C0"/>
      </a:accent3>
      <a:accent4>
        <a:srgbClr val="001F60"/>
      </a:accent4>
      <a:accent5>
        <a:srgbClr val="BE2A1D"/>
      </a:accent5>
      <a:accent6>
        <a:srgbClr val="001726"/>
      </a:accent6>
      <a:hlink>
        <a:srgbClr val="0070C0"/>
      </a:hlink>
      <a:folHlink>
        <a:srgbClr val="0070C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70" dT="2025-01-23T15:22:25.15" personId="{9A8FC171-BA8F-4BE0-83E6-29306231F270}" id="{E889E143-E4CC-4B0E-826A-4953AD75DB0F}">
    <text>Does not include weight of household non-haz, non-mineral wastes disposed of in onsite landfill, incalculable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alibremining.com/investor-relations/interactive-analyst-centre/default.aspx" TargetMode="External"/><Relationship Id="rId3" Type="http://schemas.openxmlformats.org/officeDocument/2006/relationships/hyperlink" Target="https://www.calibremining.com/corporate/corporate-governance/default.aspx" TargetMode="External"/><Relationship Id="rId7" Type="http://schemas.openxmlformats.org/officeDocument/2006/relationships/hyperlink" Target="https://www.calibremining.com/sustainability/corporate-sustainability/default.aspx" TargetMode="External"/><Relationship Id="rId2" Type="http://schemas.openxmlformats.org/officeDocument/2006/relationships/hyperlink" Target="https://www.calibremining.com/sustainability/estma/default.aspx" TargetMode="External"/><Relationship Id="rId1" Type="http://schemas.openxmlformats.org/officeDocument/2006/relationships/hyperlink" Target="https://www.calibremining.com/investor-relations/financials-reports/default.aspx" TargetMode="External"/><Relationship Id="rId6" Type="http://schemas.openxmlformats.org/officeDocument/2006/relationships/hyperlink" Target="https://www.calibremining.com/sustainability/corporate-sustainability/default.aspx" TargetMode="External"/><Relationship Id="rId5" Type="http://schemas.openxmlformats.org/officeDocument/2006/relationships/hyperlink" Target="https://www.calibremining.com/investor-relations/agm-materials/default.aspx" TargetMode="External"/><Relationship Id="rId10" Type="http://schemas.openxmlformats.org/officeDocument/2006/relationships/table" Target="../tables/table2.xml"/><Relationship Id="rId4" Type="http://schemas.openxmlformats.org/officeDocument/2006/relationships/hyperlink" Target="https://www.calibremining.com/sustainability/corporate-sustainability/default.aspx"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vmlDrawing" Target="../drawings/vmlDrawing1.v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table" Target="../tables/table35.xml"/><Relationship Id="rId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table" Target="../tables/table3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7C3B-8BEA-4C53-B019-8FD594195411}">
  <dimension ref="A1:O92"/>
  <sheetViews>
    <sheetView showGridLines="0" tabSelected="1" zoomScaleNormal="100" workbookViewId="0">
      <pane xSplit="1" ySplit="2" topLeftCell="B3" activePane="bottomRight" state="frozen"/>
      <selection pane="topRight" activeCell="B1" sqref="B1"/>
      <selection pane="bottomLeft" activeCell="A10" sqref="A10"/>
      <selection pane="bottomRight" activeCell="C92" sqref="C92"/>
    </sheetView>
  </sheetViews>
  <sheetFormatPr defaultRowHeight="14.5" x14ac:dyDescent="0.35"/>
  <cols>
    <col min="2" max="2" width="49.81640625" customWidth="1"/>
    <col min="3" max="3" width="47.1796875" customWidth="1"/>
    <col min="4" max="4" width="48.1796875" customWidth="1"/>
    <col min="5" max="5" width="21" bestFit="1" customWidth="1"/>
    <col min="6" max="6" width="12.1796875" bestFit="1" customWidth="1"/>
    <col min="7" max="7" width="21" bestFit="1" customWidth="1"/>
    <col min="8" max="8" width="12.1796875" bestFit="1" customWidth="1"/>
  </cols>
  <sheetData>
    <row r="1" spans="2:4" ht="42.75" customHeight="1" x14ac:dyDescent="1.05">
      <c r="B1" s="298" t="s">
        <v>0</v>
      </c>
      <c r="C1" s="298"/>
      <c r="D1" s="17"/>
    </row>
    <row r="2" spans="2:4" x14ac:dyDescent="0.35">
      <c r="B2" s="18"/>
      <c r="C2" s="18"/>
      <c r="D2" s="18"/>
    </row>
    <row r="3" spans="2:4" ht="19.5" x14ac:dyDescent="0.45">
      <c r="B3" s="294" t="s">
        <v>1</v>
      </c>
      <c r="C3" s="294"/>
      <c r="D3" s="294"/>
    </row>
    <row r="4" spans="2:4" ht="157.5" customHeight="1" x14ac:dyDescent="0.35">
      <c r="B4" s="299" t="s">
        <v>2</v>
      </c>
      <c r="C4" s="299"/>
      <c r="D4" s="299"/>
    </row>
    <row r="5" spans="2:4" x14ac:dyDescent="0.35">
      <c r="B5" s="2"/>
      <c r="C5" s="2"/>
      <c r="D5" s="2"/>
    </row>
    <row r="6" spans="2:4" ht="15.75" customHeight="1" x14ac:dyDescent="0.45">
      <c r="B6" s="294" t="s">
        <v>3</v>
      </c>
      <c r="C6" s="294"/>
      <c r="D6" s="294"/>
    </row>
    <row r="7" spans="2:4" s="2" customFormat="1" ht="82.5" customHeight="1" x14ac:dyDescent="0.3">
      <c r="B7" s="299" t="s">
        <v>4</v>
      </c>
      <c r="C7" s="299"/>
      <c r="D7" s="299"/>
    </row>
    <row r="8" spans="2:4" x14ac:dyDescent="0.35">
      <c r="B8" s="2"/>
      <c r="C8" s="2"/>
      <c r="D8" s="2"/>
    </row>
    <row r="9" spans="2:4" ht="19.5" x14ac:dyDescent="0.45">
      <c r="B9" s="294" t="s">
        <v>5</v>
      </c>
      <c r="C9" s="294"/>
      <c r="D9" s="294"/>
    </row>
    <row r="10" spans="2:4" ht="177" customHeight="1" x14ac:dyDescent="0.35">
      <c r="B10" s="300" t="s">
        <v>6</v>
      </c>
      <c r="C10" s="300"/>
      <c r="D10" s="300"/>
    </row>
    <row r="11" spans="2:4" x14ac:dyDescent="0.35">
      <c r="B11" s="2"/>
      <c r="C11" s="2"/>
      <c r="D11" s="2"/>
    </row>
    <row r="12" spans="2:4" ht="19.5" x14ac:dyDescent="0.45">
      <c r="B12" s="294" t="s">
        <v>7</v>
      </c>
      <c r="C12" s="294"/>
      <c r="D12" s="294"/>
    </row>
    <row r="13" spans="2:4" x14ac:dyDescent="0.35">
      <c r="B13" s="19"/>
      <c r="C13" s="19"/>
      <c r="D13" s="19"/>
    </row>
    <row r="14" spans="2:4" x14ac:dyDescent="0.35">
      <c r="B14" s="2" t="s">
        <v>8</v>
      </c>
      <c r="C14" s="2" t="s">
        <v>9</v>
      </c>
      <c r="D14" s="18"/>
    </row>
    <row r="15" spans="2:4" x14ac:dyDescent="0.35">
      <c r="B15" s="2" t="s">
        <v>10</v>
      </c>
      <c r="C15" s="20" t="s">
        <v>11</v>
      </c>
      <c r="D15" s="18"/>
    </row>
    <row r="16" spans="2:4" x14ac:dyDescent="0.35">
      <c r="B16" s="2" t="s">
        <v>12</v>
      </c>
      <c r="C16" s="20" t="s">
        <v>13</v>
      </c>
      <c r="D16" s="18"/>
    </row>
    <row r="17" spans="1:14" x14ac:dyDescent="0.35">
      <c r="B17" s="2" t="s">
        <v>14</v>
      </c>
      <c r="C17" s="20" t="s">
        <v>13</v>
      </c>
      <c r="D17" s="18"/>
    </row>
    <row r="18" spans="1:14" x14ac:dyDescent="0.35">
      <c r="B18" s="2" t="s">
        <v>15</v>
      </c>
      <c r="C18" s="20" t="s">
        <v>13</v>
      </c>
      <c r="D18" s="18"/>
    </row>
    <row r="19" spans="1:14" x14ac:dyDescent="0.35">
      <c r="B19" s="2" t="s">
        <v>16</v>
      </c>
      <c r="C19" s="20" t="s">
        <v>17</v>
      </c>
      <c r="D19" s="18"/>
    </row>
    <row r="20" spans="1:14" x14ac:dyDescent="0.35">
      <c r="B20" s="2" t="s">
        <v>18</v>
      </c>
      <c r="C20" s="20" t="s">
        <v>19</v>
      </c>
      <c r="D20" s="18"/>
    </row>
    <row r="21" spans="1:14" x14ac:dyDescent="0.35">
      <c r="B21" s="2" t="s">
        <v>20</v>
      </c>
      <c r="C21" s="20" t="s">
        <v>21</v>
      </c>
      <c r="D21" s="18"/>
    </row>
    <row r="22" spans="1:14" x14ac:dyDescent="0.35">
      <c r="B22" s="2" t="s">
        <v>22</v>
      </c>
      <c r="C22" s="20" t="s">
        <v>23</v>
      </c>
      <c r="D22" s="18"/>
    </row>
    <row r="23" spans="1:14" x14ac:dyDescent="0.35">
      <c r="B23" s="18"/>
      <c r="C23" s="18"/>
      <c r="D23" s="18"/>
    </row>
    <row r="24" spans="1:14" ht="19.5" x14ac:dyDescent="0.45">
      <c r="B24" s="294" t="s">
        <v>24</v>
      </c>
      <c r="C24" s="294"/>
      <c r="D24" s="294"/>
    </row>
    <row r="25" spans="1:14" x14ac:dyDescent="0.35">
      <c r="B25" s="19"/>
      <c r="C25" s="19"/>
      <c r="D25" s="19"/>
    </row>
    <row r="26" spans="1:14" ht="27" customHeight="1" x14ac:dyDescent="0.35">
      <c r="A26" s="16"/>
      <c r="B26" s="305" t="s">
        <v>25</v>
      </c>
      <c r="C26" s="306" t="s">
        <v>26</v>
      </c>
      <c r="D26" s="307"/>
      <c r="E26" s="306" t="s">
        <v>27</v>
      </c>
      <c r="F26" s="307"/>
      <c r="G26" s="306" t="s">
        <v>28</v>
      </c>
      <c r="H26" s="307"/>
      <c r="I26" s="3"/>
      <c r="J26" s="3"/>
      <c r="K26" s="3"/>
      <c r="L26" s="3"/>
      <c r="M26" s="1"/>
      <c r="N26" s="1"/>
    </row>
    <row r="27" spans="1:14" ht="54" customHeight="1" x14ac:dyDescent="0.35">
      <c r="A27" s="16"/>
      <c r="B27" s="305"/>
      <c r="C27" s="303" t="s">
        <v>29</v>
      </c>
      <c r="D27" s="304"/>
      <c r="E27" s="303" t="s">
        <v>30</v>
      </c>
      <c r="F27" s="304"/>
      <c r="G27" s="303" t="s">
        <v>31</v>
      </c>
      <c r="H27" s="304"/>
      <c r="I27" s="3"/>
      <c r="J27" s="3"/>
      <c r="K27" s="3"/>
      <c r="L27" s="3"/>
      <c r="M27" s="1"/>
      <c r="N27" s="1"/>
    </row>
    <row r="28" spans="1:14" x14ac:dyDescent="0.35">
      <c r="A28" s="16"/>
      <c r="B28" s="305"/>
      <c r="C28" s="145" t="s">
        <v>32</v>
      </c>
      <c r="D28" s="144" t="s">
        <v>33</v>
      </c>
      <c r="E28" s="145" t="s">
        <v>32</v>
      </c>
      <c r="F28" s="144" t="s">
        <v>33</v>
      </c>
      <c r="G28" s="145" t="s">
        <v>32</v>
      </c>
      <c r="H28" s="144" t="s">
        <v>33</v>
      </c>
      <c r="I28" s="3"/>
      <c r="J28" s="3"/>
      <c r="K28" s="3"/>
      <c r="L28" s="3"/>
      <c r="M28" s="1"/>
      <c r="N28" s="1"/>
    </row>
    <row r="29" spans="1:14" x14ac:dyDescent="0.35">
      <c r="A29" s="16"/>
      <c r="B29" s="301" t="s">
        <v>34</v>
      </c>
      <c r="C29" s="302"/>
      <c r="D29" s="302"/>
      <c r="E29" s="302"/>
      <c r="F29" s="302"/>
      <c r="G29" s="302"/>
      <c r="H29" s="149"/>
      <c r="I29" s="3"/>
      <c r="J29" s="3"/>
      <c r="K29" s="3"/>
      <c r="L29" s="3"/>
      <c r="M29" s="1"/>
      <c r="N29" s="1"/>
    </row>
    <row r="30" spans="1:14" ht="39" x14ac:dyDescent="0.35">
      <c r="A30" s="16"/>
      <c r="B30" s="139" t="s">
        <v>35</v>
      </c>
      <c r="C30" s="148" t="s">
        <v>36</v>
      </c>
      <c r="D30" s="137" t="s">
        <v>36</v>
      </c>
      <c r="E30" s="146" t="s">
        <v>36</v>
      </c>
      <c r="F30" s="147" t="s">
        <v>36</v>
      </c>
      <c r="G30" s="137" t="s">
        <v>36</v>
      </c>
      <c r="H30" s="138" t="s">
        <v>36</v>
      </c>
      <c r="I30" s="3"/>
      <c r="J30" s="3"/>
      <c r="K30" s="3"/>
      <c r="L30" s="3"/>
      <c r="M30" s="1"/>
      <c r="N30" s="1"/>
    </row>
    <row r="31" spans="1:14" x14ac:dyDescent="0.35">
      <c r="A31" s="16"/>
      <c r="B31" s="136" t="s">
        <v>37</v>
      </c>
      <c r="C31" s="148" t="s">
        <v>36</v>
      </c>
      <c r="D31" s="137" t="s">
        <v>36</v>
      </c>
      <c r="E31" s="148" t="s">
        <v>36</v>
      </c>
      <c r="F31" s="138" t="s">
        <v>36</v>
      </c>
      <c r="G31" s="137" t="s">
        <v>36</v>
      </c>
      <c r="H31" s="138" t="s">
        <v>36</v>
      </c>
      <c r="I31" s="3"/>
      <c r="J31" s="3"/>
      <c r="K31" s="3"/>
      <c r="L31" s="3"/>
      <c r="M31" s="1"/>
      <c r="N31" s="1"/>
    </row>
    <row r="32" spans="1:14" ht="52" x14ac:dyDescent="0.35">
      <c r="A32" s="16"/>
      <c r="B32" s="139" t="s">
        <v>38</v>
      </c>
      <c r="C32" s="148" t="s">
        <v>36</v>
      </c>
      <c r="D32" s="137" t="s">
        <v>36</v>
      </c>
      <c r="E32" s="148" t="s">
        <v>36</v>
      </c>
      <c r="F32" s="138" t="s">
        <v>36</v>
      </c>
      <c r="G32" s="137" t="s">
        <v>36</v>
      </c>
      <c r="H32" s="138" t="s">
        <v>36</v>
      </c>
      <c r="I32" s="3"/>
      <c r="J32" s="3"/>
      <c r="K32" s="3"/>
      <c r="L32" s="3"/>
      <c r="M32" s="1"/>
      <c r="N32" s="1"/>
    </row>
    <row r="33" spans="1:15" ht="65" x14ac:dyDescent="0.35">
      <c r="A33" s="16"/>
      <c r="B33" s="139" t="s">
        <v>39</v>
      </c>
      <c r="C33" s="148" t="s">
        <v>36</v>
      </c>
      <c r="D33" s="137" t="s">
        <v>36</v>
      </c>
      <c r="E33" s="148" t="s">
        <v>36</v>
      </c>
      <c r="F33" s="138" t="s">
        <v>36</v>
      </c>
      <c r="G33" s="137" t="s">
        <v>36</v>
      </c>
      <c r="H33" s="138" t="s">
        <v>36</v>
      </c>
      <c r="I33" s="3"/>
      <c r="J33" s="3"/>
      <c r="K33" s="3"/>
      <c r="L33" s="3"/>
      <c r="M33" s="1"/>
      <c r="N33" s="1"/>
    </row>
    <row r="34" spans="1:15" x14ac:dyDescent="0.35">
      <c r="A34" s="16"/>
      <c r="B34" s="150" t="s">
        <v>40</v>
      </c>
      <c r="C34" s="151"/>
      <c r="D34" s="151"/>
      <c r="E34" s="153"/>
      <c r="F34" s="149"/>
      <c r="G34" s="151"/>
      <c r="H34" s="149"/>
      <c r="I34" s="3"/>
      <c r="J34" s="3"/>
      <c r="K34" s="3"/>
      <c r="L34" s="3"/>
      <c r="M34" s="1"/>
      <c r="N34" s="1"/>
    </row>
    <row r="35" spans="1:15" ht="78" x14ac:dyDescent="0.35">
      <c r="A35" s="16"/>
      <c r="B35" s="139" t="s">
        <v>41</v>
      </c>
      <c r="C35" s="148" t="s">
        <v>36</v>
      </c>
      <c r="D35" s="137" t="s">
        <v>36</v>
      </c>
      <c r="E35" s="148" t="s">
        <v>36</v>
      </c>
      <c r="F35" s="138" t="s">
        <v>36</v>
      </c>
      <c r="G35" s="137" t="s">
        <v>36</v>
      </c>
      <c r="H35" s="138" t="s">
        <v>36</v>
      </c>
      <c r="I35" s="3"/>
      <c r="J35" s="3"/>
      <c r="K35" s="3"/>
      <c r="L35" s="3"/>
      <c r="M35" s="1"/>
      <c r="N35" s="1"/>
    </row>
    <row r="36" spans="1:15" ht="52" x14ac:dyDescent="0.35">
      <c r="A36" s="16"/>
      <c r="B36" s="136" t="s">
        <v>42</v>
      </c>
      <c r="C36" s="148" t="s">
        <v>36</v>
      </c>
      <c r="D36" s="137" t="s">
        <v>43</v>
      </c>
      <c r="E36" s="148" t="s">
        <v>36</v>
      </c>
      <c r="F36" s="138" t="s">
        <v>43</v>
      </c>
      <c r="G36" s="137" t="s">
        <v>36</v>
      </c>
      <c r="H36" s="138" t="s">
        <v>43</v>
      </c>
      <c r="I36" s="3"/>
      <c r="J36" s="3"/>
      <c r="K36" s="3"/>
      <c r="L36" s="3"/>
      <c r="M36" s="1"/>
      <c r="N36" s="1"/>
    </row>
    <row r="37" spans="1:15" ht="39" x14ac:dyDescent="0.35">
      <c r="A37" s="16"/>
      <c r="B37" s="139" t="s">
        <v>44</v>
      </c>
      <c r="C37" s="148" t="s">
        <v>36</v>
      </c>
      <c r="D37" s="137" t="s">
        <v>36</v>
      </c>
      <c r="E37" s="148" t="s">
        <v>36</v>
      </c>
      <c r="F37" s="138" t="s">
        <v>36</v>
      </c>
      <c r="G37" s="137" t="s">
        <v>36</v>
      </c>
      <c r="H37" s="138" t="s">
        <v>36</v>
      </c>
      <c r="I37" s="3"/>
      <c r="J37" s="3"/>
      <c r="K37" s="3"/>
      <c r="L37" s="3"/>
      <c r="M37" s="1"/>
      <c r="N37" s="1"/>
    </row>
    <row r="38" spans="1:15" ht="52" x14ac:dyDescent="0.35">
      <c r="A38" s="16"/>
      <c r="B38" s="139" t="s">
        <v>45</v>
      </c>
      <c r="C38" s="148" t="s">
        <v>36</v>
      </c>
      <c r="D38" s="137" t="s">
        <v>36</v>
      </c>
      <c r="E38" s="148" t="s">
        <v>36</v>
      </c>
      <c r="F38" s="138" t="s">
        <v>36</v>
      </c>
      <c r="G38" s="137" t="s">
        <v>43</v>
      </c>
      <c r="H38" s="138" t="s">
        <v>46</v>
      </c>
      <c r="I38" s="3"/>
      <c r="J38" s="3"/>
      <c r="K38" s="3"/>
      <c r="L38" s="3"/>
      <c r="M38" s="1"/>
      <c r="N38" s="1"/>
    </row>
    <row r="39" spans="1:15" ht="26" x14ac:dyDescent="0.35">
      <c r="A39" s="16"/>
      <c r="B39" s="139" t="s">
        <v>47</v>
      </c>
      <c r="C39" s="145" t="s">
        <v>36</v>
      </c>
      <c r="D39" s="143" t="s">
        <v>43</v>
      </c>
      <c r="E39" s="148" t="s">
        <v>36</v>
      </c>
      <c r="F39" s="138" t="s">
        <v>43</v>
      </c>
      <c r="G39" s="137" t="s">
        <v>43</v>
      </c>
      <c r="H39" s="138" t="s">
        <v>43</v>
      </c>
      <c r="I39" s="3"/>
      <c r="J39" s="3"/>
      <c r="K39" s="3"/>
      <c r="L39" s="3"/>
      <c r="M39" s="1"/>
      <c r="N39" s="1"/>
    </row>
    <row r="40" spans="1:15" x14ac:dyDescent="0.35">
      <c r="A40" s="16"/>
      <c r="B40" s="295" t="s">
        <v>48</v>
      </c>
      <c r="C40" s="296"/>
      <c r="D40" s="296"/>
      <c r="E40" s="154"/>
      <c r="F40" s="141"/>
      <c r="G40" s="140"/>
      <c r="H40" s="141"/>
      <c r="I40" s="3"/>
      <c r="J40" s="3"/>
      <c r="K40" s="3"/>
      <c r="L40" s="3"/>
      <c r="M40" s="1"/>
      <c r="N40" s="1"/>
    </row>
    <row r="41" spans="1:15" ht="39" x14ac:dyDescent="0.35">
      <c r="A41" s="16"/>
      <c r="B41" s="139" t="s">
        <v>49</v>
      </c>
      <c r="C41" s="146" t="s">
        <v>36</v>
      </c>
      <c r="D41" s="152" t="s">
        <v>43</v>
      </c>
      <c r="E41" s="148" t="s">
        <v>36</v>
      </c>
      <c r="F41" s="138" t="s">
        <v>43</v>
      </c>
      <c r="G41" s="137" t="s">
        <v>36</v>
      </c>
      <c r="H41" s="138" t="s">
        <v>43</v>
      </c>
      <c r="I41" s="3"/>
      <c r="J41" s="3"/>
      <c r="K41" s="3"/>
      <c r="L41" s="3"/>
      <c r="M41" s="1"/>
      <c r="N41" s="1"/>
    </row>
    <row r="42" spans="1:15" ht="26" x14ac:dyDescent="0.35">
      <c r="A42" s="16"/>
      <c r="B42" s="139" t="s">
        <v>50</v>
      </c>
      <c r="C42" s="148" t="s">
        <v>36</v>
      </c>
      <c r="D42" s="137" t="s">
        <v>43</v>
      </c>
      <c r="E42" s="148" t="s">
        <v>36</v>
      </c>
      <c r="F42" s="138" t="s">
        <v>43</v>
      </c>
      <c r="G42" s="137" t="s">
        <v>36</v>
      </c>
      <c r="H42" s="138" t="s">
        <v>43</v>
      </c>
      <c r="I42" s="3"/>
      <c r="J42" s="3"/>
      <c r="K42" s="3"/>
      <c r="L42" s="3"/>
      <c r="M42" s="1"/>
      <c r="N42" s="1"/>
    </row>
    <row r="43" spans="1:15" ht="54" customHeight="1" x14ac:dyDescent="0.35">
      <c r="A43" s="16"/>
      <c r="B43" s="139" t="s">
        <v>51</v>
      </c>
      <c r="C43" s="148" t="s">
        <v>36</v>
      </c>
      <c r="D43" s="137" t="s">
        <v>36</v>
      </c>
      <c r="E43" s="148" t="s">
        <v>36</v>
      </c>
      <c r="F43" s="138" t="s">
        <v>36</v>
      </c>
      <c r="G43" s="137" t="s">
        <v>43</v>
      </c>
      <c r="H43" s="138" t="s">
        <v>36</v>
      </c>
      <c r="I43" s="3"/>
      <c r="J43" s="3"/>
      <c r="K43" s="3"/>
      <c r="L43" s="3"/>
      <c r="M43" s="1"/>
      <c r="N43" s="1"/>
    </row>
    <row r="44" spans="1:15" x14ac:dyDescent="0.35">
      <c r="A44" s="16"/>
      <c r="B44" s="142" t="s">
        <v>52</v>
      </c>
      <c r="C44" s="145" t="s">
        <v>36</v>
      </c>
      <c r="D44" s="143" t="s">
        <v>43</v>
      </c>
      <c r="E44" s="145" t="s">
        <v>36</v>
      </c>
      <c r="F44" s="144" t="s">
        <v>43</v>
      </c>
      <c r="G44" s="143" t="s">
        <v>43</v>
      </c>
      <c r="H44" s="144" t="s">
        <v>46</v>
      </c>
      <c r="I44" s="3"/>
      <c r="J44" s="3"/>
      <c r="K44" s="3"/>
      <c r="L44" s="3"/>
      <c r="M44" s="1"/>
      <c r="N44" s="1"/>
    </row>
    <row r="45" spans="1:15" ht="75" customHeight="1" x14ac:dyDescent="0.35">
      <c r="A45" s="16"/>
      <c r="B45" s="297" t="s">
        <v>53</v>
      </c>
      <c r="C45" s="297"/>
      <c r="D45" s="297"/>
      <c r="E45" s="297"/>
      <c r="F45" s="297"/>
      <c r="G45" s="297"/>
      <c r="H45" s="297"/>
      <c r="I45" s="3"/>
      <c r="J45" s="3"/>
      <c r="K45" s="3"/>
      <c r="L45" s="3"/>
      <c r="M45" s="1"/>
      <c r="N45" s="1"/>
    </row>
    <row r="46" spans="1:15" ht="19.5" customHeight="1" x14ac:dyDescent="0.35">
      <c r="A46" s="10"/>
      <c r="B46" s="5"/>
      <c r="C46" s="3"/>
      <c r="D46" s="3"/>
      <c r="E46" s="3"/>
      <c r="F46" s="3"/>
      <c r="G46" s="3"/>
      <c r="H46" s="3"/>
      <c r="I46" s="3"/>
      <c r="J46" s="3"/>
      <c r="K46" s="3"/>
      <c r="L46" s="3"/>
      <c r="M46" s="3"/>
      <c r="N46" s="1"/>
      <c r="O46" s="1"/>
    </row>
    <row r="47" spans="1:15" ht="19.5" x14ac:dyDescent="0.45">
      <c r="B47" s="294" t="s">
        <v>54</v>
      </c>
      <c r="C47" s="294"/>
      <c r="D47" s="294"/>
    </row>
    <row r="49" spans="2:4" x14ac:dyDescent="0.35">
      <c r="B49" s="21" t="s">
        <v>55</v>
      </c>
      <c r="C49" s="21" t="s">
        <v>56</v>
      </c>
      <c r="D49" s="21" t="s">
        <v>57</v>
      </c>
    </row>
    <row r="50" spans="2:4" x14ac:dyDescent="0.35">
      <c r="B50" s="10" t="s">
        <v>58</v>
      </c>
      <c r="C50" s="218" t="s">
        <v>59</v>
      </c>
      <c r="D50" s="3" t="s">
        <v>60</v>
      </c>
    </row>
    <row r="51" spans="2:4" x14ac:dyDescent="0.35">
      <c r="B51" s="10" t="s">
        <v>61</v>
      </c>
      <c r="C51" s="218" t="s">
        <v>62</v>
      </c>
      <c r="D51" s="3"/>
    </row>
    <row r="52" spans="2:4" x14ac:dyDescent="0.35">
      <c r="B52" s="44" t="s">
        <v>63</v>
      </c>
      <c r="C52" s="44"/>
      <c r="D52" s="44"/>
    </row>
    <row r="53" spans="2:4" ht="26" x14ac:dyDescent="0.35">
      <c r="B53" s="10" t="s">
        <v>64</v>
      </c>
      <c r="C53" s="218" t="s">
        <v>65</v>
      </c>
      <c r="D53" s="3" t="s">
        <v>66</v>
      </c>
    </row>
    <row r="54" spans="2:4" ht="29.25" customHeight="1" x14ac:dyDescent="0.35">
      <c r="B54" s="10" t="s">
        <v>64</v>
      </c>
      <c r="C54" s="218" t="s">
        <v>67</v>
      </c>
      <c r="D54" s="3" t="s">
        <v>68</v>
      </c>
    </row>
    <row r="55" spans="2:4" x14ac:dyDescent="0.35">
      <c r="B55" s="10" t="s">
        <v>69</v>
      </c>
      <c r="C55" s="218" t="s">
        <v>70</v>
      </c>
      <c r="D55" s="3" t="s">
        <v>71</v>
      </c>
    </row>
    <row r="56" spans="2:4" x14ac:dyDescent="0.35">
      <c r="B56" s="10" t="s">
        <v>69</v>
      </c>
      <c r="C56" s="218" t="s">
        <v>72</v>
      </c>
      <c r="D56" s="3" t="s">
        <v>73</v>
      </c>
    </row>
    <row r="57" spans="2:4" x14ac:dyDescent="0.35">
      <c r="B57" s="10" t="s">
        <v>69</v>
      </c>
      <c r="C57" s="218" t="s">
        <v>74</v>
      </c>
      <c r="D57" s="3" t="s">
        <v>75</v>
      </c>
    </row>
    <row r="58" spans="2:4" x14ac:dyDescent="0.35">
      <c r="B58" s="10" t="s">
        <v>69</v>
      </c>
      <c r="C58" s="218" t="s">
        <v>76</v>
      </c>
      <c r="D58" s="3" t="s">
        <v>77</v>
      </c>
    </row>
    <row r="59" spans="2:4" ht="26" x14ac:dyDescent="0.35">
      <c r="B59" s="10" t="s">
        <v>78</v>
      </c>
      <c r="C59" s="218" t="s">
        <v>79</v>
      </c>
      <c r="D59" s="3" t="s">
        <v>80</v>
      </c>
    </row>
    <row r="60" spans="2:4" ht="15" customHeight="1" x14ac:dyDescent="0.35">
      <c r="B60" s="10" t="s">
        <v>78</v>
      </c>
      <c r="C60" s="218" t="s">
        <v>81</v>
      </c>
      <c r="D60" s="3" t="s">
        <v>82</v>
      </c>
    </row>
    <row r="61" spans="2:4" x14ac:dyDescent="0.35">
      <c r="B61" s="10" t="s">
        <v>78</v>
      </c>
      <c r="C61" s="218" t="s">
        <v>83</v>
      </c>
      <c r="D61" s="3" t="s">
        <v>84</v>
      </c>
    </row>
    <row r="62" spans="2:4" x14ac:dyDescent="0.35">
      <c r="B62" s="10" t="s">
        <v>78</v>
      </c>
      <c r="C62" s="218" t="s">
        <v>85</v>
      </c>
      <c r="D62" s="3" t="s">
        <v>86</v>
      </c>
    </row>
    <row r="63" spans="2:4" x14ac:dyDescent="0.35">
      <c r="B63" s="10" t="s">
        <v>87</v>
      </c>
      <c r="C63" s="218" t="s">
        <v>88</v>
      </c>
      <c r="D63" s="3" t="s">
        <v>89</v>
      </c>
    </row>
    <row r="64" spans="2:4" x14ac:dyDescent="0.35">
      <c r="B64" s="10" t="s">
        <v>87</v>
      </c>
      <c r="C64" s="218" t="s">
        <v>90</v>
      </c>
      <c r="D64" s="3" t="s">
        <v>91</v>
      </c>
    </row>
    <row r="65" spans="2:4" x14ac:dyDescent="0.35">
      <c r="B65" s="10" t="s">
        <v>87</v>
      </c>
      <c r="C65" s="218" t="s">
        <v>92</v>
      </c>
      <c r="D65" s="3" t="s">
        <v>93</v>
      </c>
    </row>
    <row r="66" spans="2:4" x14ac:dyDescent="0.35">
      <c r="B66" s="10" t="s">
        <v>87</v>
      </c>
      <c r="C66" s="218" t="s">
        <v>94</v>
      </c>
      <c r="D66" s="3" t="s">
        <v>95</v>
      </c>
    </row>
    <row r="67" spans="2:4" x14ac:dyDescent="0.35">
      <c r="B67" s="10" t="s">
        <v>87</v>
      </c>
      <c r="C67" s="218" t="s">
        <v>96</v>
      </c>
      <c r="D67" s="3" t="s">
        <v>97</v>
      </c>
    </row>
    <row r="68" spans="2:4" x14ac:dyDescent="0.35">
      <c r="B68" s="44" t="s">
        <v>98</v>
      </c>
      <c r="C68" s="44"/>
      <c r="D68" s="44"/>
    </row>
    <row r="69" spans="2:4" x14ac:dyDescent="0.35">
      <c r="B69" s="10" t="s">
        <v>99</v>
      </c>
      <c r="C69" s="218" t="s">
        <v>100</v>
      </c>
      <c r="D69" s="3" t="s">
        <v>101</v>
      </c>
    </row>
    <row r="70" spans="2:4" x14ac:dyDescent="0.35">
      <c r="B70" s="10" t="s">
        <v>99</v>
      </c>
      <c r="C70" s="218" t="s">
        <v>102</v>
      </c>
      <c r="D70" s="3" t="s">
        <v>103</v>
      </c>
    </row>
    <row r="71" spans="2:4" x14ac:dyDescent="0.35">
      <c r="B71" s="10" t="s">
        <v>99</v>
      </c>
      <c r="C71" s="218" t="s">
        <v>104</v>
      </c>
      <c r="D71" s="3" t="s">
        <v>105</v>
      </c>
    </row>
    <row r="72" spans="2:4" x14ac:dyDescent="0.35">
      <c r="B72" s="10" t="s">
        <v>99</v>
      </c>
      <c r="C72" s="218" t="s">
        <v>106</v>
      </c>
      <c r="D72" s="3" t="s">
        <v>107</v>
      </c>
    </row>
    <row r="73" spans="2:4" x14ac:dyDescent="0.35">
      <c r="B73" s="10" t="s">
        <v>99</v>
      </c>
      <c r="C73" s="218" t="s">
        <v>108</v>
      </c>
      <c r="D73" s="3" t="s">
        <v>109</v>
      </c>
    </row>
    <row r="74" spans="2:4" x14ac:dyDescent="0.35">
      <c r="B74" s="10" t="s">
        <v>99</v>
      </c>
      <c r="C74" s="218" t="s">
        <v>110</v>
      </c>
      <c r="D74" s="3" t="s">
        <v>111</v>
      </c>
    </row>
    <row r="75" spans="2:4" x14ac:dyDescent="0.35">
      <c r="B75" s="10" t="s">
        <v>99</v>
      </c>
      <c r="C75" s="218" t="s">
        <v>112</v>
      </c>
      <c r="D75" s="3" t="s">
        <v>111</v>
      </c>
    </row>
    <row r="76" spans="2:4" x14ac:dyDescent="0.35">
      <c r="B76" s="10" t="s">
        <v>113</v>
      </c>
      <c r="C76" s="218" t="s">
        <v>114</v>
      </c>
      <c r="D76" s="3" t="s">
        <v>115</v>
      </c>
    </row>
    <row r="77" spans="2:4" x14ac:dyDescent="0.35">
      <c r="B77" s="10" t="s">
        <v>113</v>
      </c>
      <c r="C77" s="218" t="s">
        <v>116</v>
      </c>
      <c r="D77" s="3" t="s">
        <v>117</v>
      </c>
    </row>
    <row r="78" spans="2:4" ht="17.25" customHeight="1" x14ac:dyDescent="0.35">
      <c r="B78" s="10" t="s">
        <v>118</v>
      </c>
      <c r="C78" s="218" t="s">
        <v>119</v>
      </c>
      <c r="D78" s="3" t="s">
        <v>120</v>
      </c>
    </row>
    <row r="79" spans="2:4" ht="26" x14ac:dyDescent="0.35">
      <c r="B79" s="10" t="s">
        <v>118</v>
      </c>
      <c r="C79" s="218" t="s">
        <v>121</v>
      </c>
      <c r="D79" s="3" t="s">
        <v>122</v>
      </c>
    </row>
    <row r="80" spans="2:4" x14ac:dyDescent="0.35">
      <c r="B80" s="10" t="s">
        <v>118</v>
      </c>
      <c r="C80" s="218" t="s">
        <v>123</v>
      </c>
      <c r="D80" s="3" t="s">
        <v>124</v>
      </c>
    </row>
    <row r="81" spans="2:4" ht="26" x14ac:dyDescent="0.35">
      <c r="B81" s="10" t="s">
        <v>125</v>
      </c>
      <c r="C81" s="218" t="s">
        <v>126</v>
      </c>
      <c r="D81" s="3" t="s">
        <v>127</v>
      </c>
    </row>
    <row r="82" spans="2:4" x14ac:dyDescent="0.35">
      <c r="B82" s="10" t="s">
        <v>125</v>
      </c>
      <c r="C82" s="218" t="s">
        <v>128</v>
      </c>
      <c r="D82" s="3" t="s">
        <v>129</v>
      </c>
    </row>
    <row r="83" spans="2:4" x14ac:dyDescent="0.35">
      <c r="B83" s="10" t="s">
        <v>130</v>
      </c>
      <c r="C83" s="218" t="s">
        <v>131</v>
      </c>
      <c r="D83" s="3" t="s">
        <v>132</v>
      </c>
    </row>
    <row r="84" spans="2:4" x14ac:dyDescent="0.35">
      <c r="B84" s="10" t="s">
        <v>130</v>
      </c>
      <c r="C84" s="218" t="s">
        <v>133</v>
      </c>
      <c r="D84" s="3" t="s">
        <v>134</v>
      </c>
    </row>
    <row r="85" spans="2:4" x14ac:dyDescent="0.35">
      <c r="B85" s="10" t="s">
        <v>130</v>
      </c>
      <c r="C85" s="218" t="s">
        <v>135</v>
      </c>
      <c r="D85" s="3" t="s">
        <v>136</v>
      </c>
    </row>
    <row r="86" spans="2:4" x14ac:dyDescent="0.35">
      <c r="B86" s="10" t="s">
        <v>130</v>
      </c>
      <c r="C86" s="218" t="s">
        <v>137</v>
      </c>
      <c r="D86" s="3" t="s">
        <v>138</v>
      </c>
    </row>
    <row r="87" spans="2:4" x14ac:dyDescent="0.35">
      <c r="B87" s="10" t="s">
        <v>130</v>
      </c>
      <c r="C87" s="218" t="s">
        <v>139</v>
      </c>
      <c r="D87" s="3" t="s">
        <v>140</v>
      </c>
    </row>
    <row r="88" spans="2:4" ht="26" x14ac:dyDescent="0.35">
      <c r="B88" s="10" t="s">
        <v>130</v>
      </c>
      <c r="C88" s="218" t="s">
        <v>141</v>
      </c>
      <c r="D88" s="3" t="s">
        <v>142</v>
      </c>
    </row>
    <row r="89" spans="2:4" x14ac:dyDescent="0.35">
      <c r="B89" s="44" t="s">
        <v>143</v>
      </c>
      <c r="C89" s="44"/>
      <c r="D89" s="44"/>
    </row>
    <row r="90" spans="2:4" x14ac:dyDescent="0.35">
      <c r="B90" s="10" t="s">
        <v>144</v>
      </c>
      <c r="C90" s="218" t="s">
        <v>145</v>
      </c>
      <c r="D90" s="3" t="s">
        <v>107</v>
      </c>
    </row>
    <row r="91" spans="2:4" x14ac:dyDescent="0.35">
      <c r="B91" s="10" t="s">
        <v>144</v>
      </c>
      <c r="C91" s="218" t="s">
        <v>146</v>
      </c>
      <c r="D91" s="3" t="s">
        <v>147</v>
      </c>
    </row>
    <row r="92" spans="2:4" x14ac:dyDescent="0.35">
      <c r="B92" s="10" t="s">
        <v>148</v>
      </c>
      <c r="C92" s="218" t="s">
        <v>149</v>
      </c>
      <c r="D92" s="3" t="s">
        <v>150</v>
      </c>
    </row>
  </sheetData>
  <mergeCells count="20">
    <mergeCell ref="B26:B28"/>
    <mergeCell ref="C26:D26"/>
    <mergeCell ref="E26:F26"/>
    <mergeCell ref="G26:H26"/>
    <mergeCell ref="B47:D47"/>
    <mergeCell ref="B40:D40"/>
    <mergeCell ref="B45:H45"/>
    <mergeCell ref="B1:C1"/>
    <mergeCell ref="B3:D3"/>
    <mergeCell ref="B4:D4"/>
    <mergeCell ref="B6:D6"/>
    <mergeCell ref="B9:D9"/>
    <mergeCell ref="B10:D10"/>
    <mergeCell ref="B12:D12"/>
    <mergeCell ref="B7:D7"/>
    <mergeCell ref="B24:D24"/>
    <mergeCell ref="B29:G29"/>
    <mergeCell ref="C27:D27"/>
    <mergeCell ref="E27:F27"/>
    <mergeCell ref="G27:H27"/>
  </mergeCells>
  <hyperlinks>
    <hyperlink ref="C19" r:id="rId1" display="Visit our Financials &amp; Reports here" xr:uid="{6B234A10-1496-49F7-ABF3-D43A4D89339B}"/>
    <hyperlink ref="C20" r:id="rId2" xr:uid="{86F1E50E-6BF3-4E98-AEEB-9FDBCDD41942}"/>
    <hyperlink ref="C15" r:id="rId3" display="Consult our Board Charters and Policies here" xr:uid="{254B457D-8B7A-46FA-BE0E-4B852DA4B791}"/>
    <hyperlink ref="C16" r:id="rId4" xr:uid="{F70C9047-0D5B-479D-8DF0-CCE5DA16FD57}"/>
    <hyperlink ref="C21" r:id="rId5" xr:uid="{1F0CCD47-6785-4870-9D4B-73D51836DDB4}"/>
    <hyperlink ref="C17" r:id="rId6" xr:uid="{F46DF07F-CF3C-4597-A377-1EA1212E1DDB}"/>
    <hyperlink ref="C18" r:id="rId7" xr:uid="{16A3E391-60CF-4A41-B27C-A0A34A3F2D72}"/>
    <hyperlink ref="C22" r:id="rId8" display="Interactive Analyst Center" xr:uid="{AF0F8FB9-457C-4101-BE68-0CC5E60F14C5}"/>
    <hyperlink ref="C50" location="'00. GRI &amp; SASB Context Index'!A1" display="GRI Context Index in Accordance" xr:uid="{2D171C57-1E41-4E26-9E75-74CAC438EA83}"/>
    <hyperlink ref="C53" location="Biodiversity_Overview" display="Biodiversity Overview" xr:uid="{FF574444-7711-4F5C-93B7-54A6209F0EB4}"/>
    <hyperlink ref="C54" location="Closure_and_Rehabilitation" display="Closure and Rehabilitation" xr:uid="{BFB2D474-4282-40F6-A217-2B22A441237F}"/>
    <hyperlink ref="C55" location="Water_Withdrawal" display="Water withdrawal " xr:uid="{ABE43270-FF86-4FE6-A620-CC3BF804C5A7}"/>
    <hyperlink ref="C56" location="Water_Discharge" display="Water Discharge " xr:uid="{1CB08272-443F-4294-959B-2B239D2E64CD}"/>
    <hyperlink ref="C57" location="Water_Consumption" display="Water Consumption " xr:uid="{B81116F4-8CA2-4AB7-87AC-510A885724CC}"/>
    <hyperlink ref="C58" location="Change_in_Water_Use_Efficiency_over_Time__SDG_6.4.1" display="Change in Water-Use Efficiency Over Time" xr:uid="{5851185A-2AAB-4CA5-B42F-4A34E6AE5530}"/>
    <hyperlink ref="C59" location="Waste_Generated" display="Waste Generated" xr:uid="{1E2ED1E9-DC20-4C69-82BD-15567CF2CCA6}"/>
    <hyperlink ref="C60" location="Non_Mineral_Waste_Diverted" display="Non-Mineral Waste Diverted from Disposal" xr:uid="{11920966-E6DF-4401-BEAA-15579383F5CC}"/>
    <hyperlink ref="C61" location="Non_Mineral_Waste_Directed" display="Non-Mineral Waste Directed to Disposal" xr:uid="{84821974-D4CA-4B36-BB9A-C632338F9153}"/>
    <hyperlink ref="C62" location="Tailings_Facilities_Inventory" display="Tailings Storage Facility Inventory Table" xr:uid="{36972663-5850-4FB6-AEEA-6A5C2792379D}"/>
    <hyperlink ref="C63" location="Energy_Consumption" display="Energy Consumption within the Organization " xr:uid="{330DEC46-E22A-47E6-8543-0B232131BF84}"/>
    <hyperlink ref="C64" location="Energy_Intensity" display="Energy Intensity" xr:uid="{CC25C605-07F3-44AC-AAB5-324D6FF58B0F}"/>
    <hyperlink ref="C65" location="Scope_1_GHG_Emissions" display="Direct (Scope 1) GHG Emissions" xr:uid="{79423689-7D40-4354-A255-3843A516F36A}"/>
    <hyperlink ref="C66" location="Scope_2_GHG_Emissions" display="Energy Indirect (Scope 2) GHG Emissions" xr:uid="{CA6E5872-1743-4766-845B-8970B9348BA2}"/>
    <hyperlink ref="C67" location="Total_GHG_Emissions___Intensity_Rate" display="Total GHG Emissions &amp; Intensity Rate" xr:uid="{0EE26595-649F-4DAA-B81A-7C6B9BE0C14B}"/>
    <hyperlink ref="C69" location="Total_number_of_employees" display="Total number of employees, percentage contractors" xr:uid="{F24145D5-7B2E-4D52-A211-A3FCA753E76E}"/>
    <hyperlink ref="C70" location="Employees__GRI_2_7" display="Employees" xr:uid="{BACB6BFD-E3B8-409B-84AA-CBFB99F06EF7}"/>
    <hyperlink ref="C71" location="Workers_who_are_not_employees" display="Workers who are not employees " xr:uid="{F3AD2B5F-1E94-46B8-B2EA-E3893FCB90B8}"/>
    <hyperlink ref="C72" location="Diversity_of_Employees__GRI_405_1__14.21.5" display="Diversity of employees" xr:uid="{B45A1F06-9AF6-4E79-A972-FD2D4971E6CE}"/>
    <hyperlink ref="C73" location="Ratio_of_Basic_Salary" display="Ratio of basic salary and remuneration of women to men" xr:uid="{961CD629-D15F-4CED-9D21-0CEA9D19AE6B}"/>
    <hyperlink ref="C74" location="new_hires_turnover" display="New employee hires and employee turnover" xr:uid="{026A6494-8B9F-491D-8F59-408516D3A37E}"/>
    <hyperlink ref="C75" location="Parental_leave" display="Parental Leave" xr:uid="{39A96A49-34EA-4D08-B386-A205AF5EF1F5}"/>
    <hyperlink ref="C76" location="Work_related_injuries" display="Work-related injuries" xr:uid="{FDFDABE4-F46B-47C8-BF99-AF6C7F1B847D}"/>
    <hyperlink ref="C77" location="Work_related_ill_health" display="Work-related ill-health" xr:uid="{F266DF4D-90D2-42AE-BF40-3D14B0E1FFE7}"/>
    <hyperlink ref="C78" location="Operations_with_local_community_engagement" display="Operations with local community engagement, impact assessments and development plans" xr:uid="{3B49A0A1-6BEF-4203-A3D4-9F168879863D}"/>
    <hyperlink ref="C79" location="Significant_Actual_and_Potential_" display="Operations with significant actual and potential negative impacts on local communities" xr:uid="{CB41E635-8163-466B-9915-AD06B3970F45}"/>
    <hyperlink ref="C80" location="Community_Grievances__GRI_14.10.4" display="Community Grievances" xr:uid="{71422487-BE79-4FA7-96EF-40C92359E5F8}"/>
    <hyperlink ref="C81" location="Resettlement" display="Mine Sites where Involuntary Resettlement is Planned, Ongoing, or has Taken Place" xr:uid="{2AAEBCD3-EEF6-4FA9-81B9-285FE57FF608}"/>
    <hyperlink ref="C82" location="Proportion_of_bodies_of_water_with_good_ambient_water_quality__SDG_6.3.2" display="Proportion of Bodies of Water with Good Ambient Water Quality" xr:uid="{E4BB8BE8-9C19-42A7-8E5B-5BBDA3FBC251}"/>
    <hyperlink ref="C83" location="Direct_Economic_Value_" display="Direct Economic Value Generated and Distributed" xr:uid="{DD8A5CBA-0E02-46F5-83A0-3D230F83D1D3}"/>
    <hyperlink ref="C84" location="Infrastructure_Investments" display="Infrastructure Investments and Services Supported" xr:uid="{EBF41011-CA17-4B86-94C1-C8CA8008747B}"/>
    <hyperlink ref="C85" location="Significant_Indirect_Economic_Impacts__GRI_203_2" display="Significant Indirect Economic Impacts " xr:uid="{E85FDC70-C2A0-4527-93AD-50DB46DD0FEF}"/>
    <hyperlink ref="C86" location="Proportion_of_Spending_on_Local_Suppliers__GRI_204_1__14.9.5" display="Proportion of Spending on Local Suppliers" xr:uid="{BB9C0DAE-7E28-4F1A-96A9-21A2EA1A10D1}"/>
    <hyperlink ref="C87" location="Workers_Hired_from_the_Loca" display="Percentage of Workers Hired from the Local Community" xr:uid="{180AF6BE-7F1B-4242-9E2A-559C922DACD0}"/>
    <hyperlink ref="C88" location="Senior_Management_Hired" display="Proportion of Senior Management Hired from the Local Community" xr:uid="{B11296ED-C111-4649-9317-DEE1C68AC44B}"/>
    <hyperlink ref="C90" location="Diversity_of_Governance" display="Diversity of Governance Bodies" xr:uid="{6103E994-6F81-4C27-9C9C-B20261870FE3}"/>
    <hyperlink ref="C91" location="Compliance" display="Compliance with laws and regulations" xr:uid="{342D8268-8ADA-42B1-B221-AC050443FC50}"/>
    <hyperlink ref="C51" location="'01. Sustainability Dashboard'!A1" display="Sustainability Dashboard" xr:uid="{E628E1D1-2801-48FB-873F-02C7D49BA2ED}"/>
    <hyperlink ref="C92" location="Security_Personnel_Trained_in_Human_Rights_Policies_or_Procedures__GRI_410_01__14.14.2" display="Security Personnel Trained in Human Rights" xr:uid="{5E88B2B8-C5C4-4A98-8006-B5BDA4E3557B}"/>
  </hyperlinks>
  <pageMargins left="0.7" right="0.7" top="0.75" bottom="0.75" header="0.3" footer="0.3"/>
  <tableParts count="2">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D586-828C-4154-A72E-EFF7C96B83D9}">
  <dimension ref="A1:N196"/>
  <sheetViews>
    <sheetView showGridLines="0" zoomScale="90" zoomScaleNormal="90" workbookViewId="0">
      <pane xSplit="1" ySplit="8" topLeftCell="B9" activePane="bottomRight" state="frozen"/>
      <selection pane="topRight" activeCell="B1" sqref="B1"/>
      <selection pane="bottomLeft" activeCell="A9" sqref="A9"/>
      <selection pane="bottomRight" activeCell="D189" sqref="D189"/>
    </sheetView>
  </sheetViews>
  <sheetFormatPr defaultRowHeight="14.5" x14ac:dyDescent="0.35"/>
  <cols>
    <col min="1" max="1" width="32.54296875" style="10" customWidth="1"/>
    <col min="2" max="2" width="60.26953125" style="3" customWidth="1"/>
    <col min="3" max="3" width="52.26953125" style="3" customWidth="1"/>
    <col min="4" max="4" width="25.1796875" style="3" customWidth="1"/>
    <col min="5" max="5" width="19.54296875" style="3" customWidth="1"/>
    <col min="6" max="6" width="27.81640625" style="3" customWidth="1"/>
    <col min="7" max="7" width="27.453125" style="3" bestFit="1" customWidth="1"/>
    <col min="8" max="8" width="19.54296875" style="3" customWidth="1"/>
    <col min="9" max="12" width="9.1796875" style="3"/>
    <col min="13" max="14" width="9.1796875" style="1"/>
  </cols>
  <sheetData>
    <row r="1" spans="1:14" ht="18.5" x14ac:dyDescent="0.45">
      <c r="A1" s="10" t="s">
        <v>151</v>
      </c>
      <c r="B1" s="268" t="s">
        <v>152</v>
      </c>
      <c r="C1" s="268"/>
      <c r="D1" s="268"/>
      <c r="E1" s="268"/>
      <c r="F1" s="268"/>
      <c r="G1" s="232" t="s">
        <v>153</v>
      </c>
      <c r="L1" s="1"/>
      <c r="N1"/>
    </row>
    <row r="3" spans="1:14" x14ac:dyDescent="0.35">
      <c r="A3" s="165" t="s">
        <v>154</v>
      </c>
      <c r="B3" s="299" t="s">
        <v>155</v>
      </c>
      <c r="C3" s="299"/>
      <c r="D3" s="299"/>
      <c r="E3" s="299"/>
      <c r="F3" s="299"/>
      <c r="G3" s="299"/>
    </row>
    <row r="4" spans="1:14" x14ac:dyDescent="0.35">
      <c r="A4" s="165" t="s">
        <v>156</v>
      </c>
      <c r="B4" s="3" t="s">
        <v>157</v>
      </c>
    </row>
    <row r="5" spans="1:14" x14ac:dyDescent="0.35">
      <c r="A5" s="165" t="s">
        <v>158</v>
      </c>
      <c r="B5" s="3" t="s">
        <v>159</v>
      </c>
    </row>
    <row r="7" spans="1:14" x14ac:dyDescent="0.35">
      <c r="D7" s="311" t="s">
        <v>160</v>
      </c>
      <c r="E7" s="312"/>
      <c r="F7" s="313"/>
    </row>
    <row r="8" spans="1:14" s="92" customFormat="1" x14ac:dyDescent="0.35">
      <c r="A8" s="166" t="s">
        <v>161</v>
      </c>
      <c r="B8" s="167" t="s">
        <v>162</v>
      </c>
      <c r="C8" s="167" t="s">
        <v>163</v>
      </c>
      <c r="D8" s="269" t="s">
        <v>164</v>
      </c>
      <c r="E8" s="269" t="s">
        <v>165</v>
      </c>
      <c r="F8" s="269" t="s">
        <v>166</v>
      </c>
      <c r="G8" s="168" t="s">
        <v>167</v>
      </c>
      <c r="H8" s="3"/>
      <c r="I8" s="3"/>
      <c r="J8" s="3"/>
      <c r="K8" s="3"/>
      <c r="L8" s="3"/>
      <c r="M8" s="1"/>
      <c r="N8" s="1"/>
    </row>
    <row r="9" spans="1:14" x14ac:dyDescent="0.35">
      <c r="A9" s="169" t="s">
        <v>168</v>
      </c>
      <c r="B9" s="170"/>
      <c r="C9" s="171"/>
      <c r="D9" s="171"/>
      <c r="E9" s="171"/>
      <c r="F9" s="171"/>
      <c r="G9" s="172"/>
    </row>
    <row r="10" spans="1:14" ht="52" x14ac:dyDescent="0.35">
      <c r="A10" s="314" t="s">
        <v>169</v>
      </c>
      <c r="B10" s="157" t="s">
        <v>170</v>
      </c>
      <c r="C10" s="157" t="s">
        <v>171</v>
      </c>
      <c r="D10" s="162"/>
      <c r="E10" s="162"/>
      <c r="F10" s="162"/>
      <c r="G10" s="163"/>
    </row>
    <row r="11" spans="1:14" x14ac:dyDescent="0.35">
      <c r="A11" s="315"/>
      <c r="B11" s="157" t="s">
        <v>172</v>
      </c>
      <c r="C11" s="157" t="s">
        <v>173</v>
      </c>
      <c r="D11" s="162"/>
      <c r="E11" s="162"/>
      <c r="F11" s="162"/>
      <c r="G11" s="163"/>
    </row>
    <row r="12" spans="1:14" x14ac:dyDescent="0.35">
      <c r="A12" s="315"/>
      <c r="B12" s="157" t="s">
        <v>174</v>
      </c>
      <c r="C12" s="157" t="s">
        <v>173</v>
      </c>
      <c r="D12" s="162"/>
      <c r="E12" s="162"/>
      <c r="F12" s="162"/>
      <c r="G12" s="163"/>
    </row>
    <row r="13" spans="1:14" ht="286" x14ac:dyDescent="0.35">
      <c r="A13" s="315"/>
      <c r="B13" s="157" t="s">
        <v>175</v>
      </c>
      <c r="C13" s="196" t="s">
        <v>176</v>
      </c>
      <c r="D13" s="162"/>
      <c r="E13" s="162"/>
      <c r="F13" s="162"/>
      <c r="G13" s="163"/>
    </row>
    <row r="14" spans="1:14" x14ac:dyDescent="0.35">
      <c r="A14" s="315"/>
      <c r="B14" s="157" t="s">
        <v>177</v>
      </c>
      <c r="C14" s="157" t="s">
        <v>173</v>
      </c>
      <c r="D14" s="162"/>
      <c r="E14" s="162"/>
      <c r="F14" s="162"/>
      <c r="G14" s="163"/>
    </row>
    <row r="15" spans="1:14" ht="52" x14ac:dyDescent="0.35">
      <c r="A15" s="315"/>
      <c r="B15" s="157" t="s">
        <v>178</v>
      </c>
      <c r="C15" s="157" t="s">
        <v>179</v>
      </c>
      <c r="D15" s="157"/>
      <c r="E15" s="157"/>
      <c r="F15" s="157"/>
      <c r="G15" s="163"/>
    </row>
    <row r="16" spans="1:14" ht="42" customHeight="1" x14ac:dyDescent="0.35">
      <c r="A16" s="315"/>
      <c r="B16" s="157" t="s">
        <v>180</v>
      </c>
      <c r="C16" s="206" t="s">
        <v>181</v>
      </c>
      <c r="D16" s="157"/>
      <c r="E16" s="157"/>
      <c r="F16" s="157"/>
      <c r="G16" s="163"/>
    </row>
    <row r="17" spans="1:7" ht="52" x14ac:dyDescent="0.35">
      <c r="A17" s="315"/>
      <c r="B17" s="157" t="s">
        <v>182</v>
      </c>
      <c r="C17" s="206" t="s">
        <v>183</v>
      </c>
      <c r="D17" s="157"/>
      <c r="E17" s="157"/>
      <c r="F17" s="157"/>
      <c r="G17" s="163"/>
    </row>
    <row r="18" spans="1:7" ht="26" x14ac:dyDescent="0.35">
      <c r="A18" s="315"/>
      <c r="B18" s="157" t="s">
        <v>184</v>
      </c>
      <c r="C18" s="206" t="s">
        <v>185</v>
      </c>
      <c r="D18" s="157"/>
      <c r="E18" s="157"/>
      <c r="F18" s="157"/>
      <c r="G18" s="163"/>
    </row>
    <row r="19" spans="1:7" ht="52" x14ac:dyDescent="0.35">
      <c r="A19" s="315"/>
      <c r="B19" s="157" t="s">
        <v>186</v>
      </c>
      <c r="C19" s="157" t="s">
        <v>187</v>
      </c>
      <c r="D19" s="157"/>
      <c r="E19" s="157"/>
      <c r="F19" s="157"/>
      <c r="G19" s="163"/>
    </row>
    <row r="20" spans="1:7" ht="52" x14ac:dyDescent="0.35">
      <c r="A20" s="315"/>
      <c r="B20" s="157" t="s">
        <v>188</v>
      </c>
      <c r="C20" s="157" t="s">
        <v>189</v>
      </c>
      <c r="D20" s="157"/>
      <c r="E20" s="157"/>
      <c r="F20" s="157"/>
      <c r="G20" s="163"/>
    </row>
    <row r="21" spans="1:7" ht="26" x14ac:dyDescent="0.35">
      <c r="A21" s="315"/>
      <c r="B21" s="157" t="s">
        <v>190</v>
      </c>
      <c r="C21" s="206" t="s">
        <v>185</v>
      </c>
      <c r="D21" s="157"/>
      <c r="E21" s="157"/>
      <c r="F21" s="157"/>
      <c r="G21" s="163"/>
    </row>
    <row r="22" spans="1:7" ht="26" x14ac:dyDescent="0.35">
      <c r="A22" s="315"/>
      <c r="B22" s="157" t="s">
        <v>191</v>
      </c>
      <c r="C22" s="206" t="s">
        <v>192</v>
      </c>
      <c r="D22" s="157"/>
      <c r="E22" s="157"/>
      <c r="F22" s="157"/>
      <c r="G22" s="163"/>
    </row>
    <row r="23" spans="1:7" x14ac:dyDescent="0.35">
      <c r="A23" s="315"/>
      <c r="B23" s="157" t="s">
        <v>193</v>
      </c>
      <c r="C23" s="157" t="s">
        <v>173</v>
      </c>
      <c r="D23" s="157"/>
      <c r="E23" s="157"/>
      <c r="F23" s="157"/>
      <c r="G23" s="163"/>
    </row>
    <row r="24" spans="1:7" ht="65" x14ac:dyDescent="0.35">
      <c r="A24" s="315"/>
      <c r="B24" s="157" t="s">
        <v>194</v>
      </c>
      <c r="C24" s="157" t="s">
        <v>195</v>
      </c>
      <c r="D24" s="157"/>
      <c r="E24" s="157"/>
      <c r="F24" s="157"/>
      <c r="G24" s="163"/>
    </row>
    <row r="25" spans="1:7" ht="26" x14ac:dyDescent="0.35">
      <c r="A25" s="315"/>
      <c r="B25" s="157" t="s">
        <v>196</v>
      </c>
      <c r="C25" s="206" t="s">
        <v>197</v>
      </c>
      <c r="D25" s="157"/>
      <c r="E25" s="157"/>
      <c r="F25" s="157"/>
      <c r="G25" s="163"/>
    </row>
    <row r="26" spans="1:7" ht="39" x14ac:dyDescent="0.35">
      <c r="A26" s="315"/>
      <c r="B26" s="157" t="s">
        <v>198</v>
      </c>
      <c r="C26" s="206" t="s">
        <v>199</v>
      </c>
      <c r="D26" s="157"/>
      <c r="E26" s="157"/>
      <c r="F26" s="157"/>
      <c r="G26" s="163"/>
    </row>
    <row r="27" spans="1:7" ht="65" x14ac:dyDescent="0.35">
      <c r="A27" s="315"/>
      <c r="B27" s="157" t="s">
        <v>200</v>
      </c>
      <c r="C27" s="157" t="s">
        <v>201</v>
      </c>
      <c r="D27" s="157"/>
      <c r="E27" s="157"/>
      <c r="F27" s="157"/>
      <c r="G27" s="163"/>
    </row>
    <row r="28" spans="1:7" ht="52" x14ac:dyDescent="0.35">
      <c r="A28" s="315"/>
      <c r="B28" s="157" t="s">
        <v>202</v>
      </c>
      <c r="C28" s="157" t="s">
        <v>203</v>
      </c>
      <c r="D28" s="157"/>
      <c r="E28" s="157"/>
      <c r="F28" s="157"/>
      <c r="G28" s="163"/>
    </row>
    <row r="29" spans="1:7" ht="52" x14ac:dyDescent="0.35">
      <c r="A29" s="315"/>
      <c r="B29" s="157" t="s">
        <v>204</v>
      </c>
      <c r="C29" s="157" t="s">
        <v>203</v>
      </c>
      <c r="D29" s="157"/>
      <c r="E29" s="157"/>
      <c r="F29" s="157"/>
      <c r="G29" s="163"/>
    </row>
    <row r="30" spans="1:7" ht="26" x14ac:dyDescent="0.35">
      <c r="A30" s="315"/>
      <c r="B30" s="157" t="s">
        <v>205</v>
      </c>
      <c r="C30" s="206" t="s">
        <v>206</v>
      </c>
      <c r="D30" s="157"/>
      <c r="E30" s="157"/>
      <c r="F30" s="157"/>
      <c r="G30" s="163"/>
    </row>
    <row r="31" spans="1:7" ht="26" x14ac:dyDescent="0.35">
      <c r="A31" s="315"/>
      <c r="B31" s="157" t="s">
        <v>207</v>
      </c>
      <c r="C31" s="206" t="s">
        <v>208</v>
      </c>
      <c r="D31" s="157"/>
      <c r="E31" s="157"/>
      <c r="F31" s="157"/>
      <c r="G31" s="163"/>
    </row>
    <row r="32" spans="1:7" ht="39" x14ac:dyDescent="0.35">
      <c r="A32" s="315"/>
      <c r="B32" s="157" t="s">
        <v>209</v>
      </c>
      <c r="C32" s="157" t="s">
        <v>210</v>
      </c>
      <c r="D32" s="157"/>
      <c r="E32" s="157"/>
      <c r="F32" s="157"/>
      <c r="G32" s="163"/>
    </row>
    <row r="33" spans="1:7" ht="26" x14ac:dyDescent="0.35">
      <c r="A33" s="315"/>
      <c r="B33" s="157" t="s">
        <v>211</v>
      </c>
      <c r="C33" s="206" t="s">
        <v>197</v>
      </c>
      <c r="D33" s="157"/>
      <c r="E33" s="157"/>
      <c r="F33" s="157"/>
      <c r="G33" s="163"/>
    </row>
    <row r="34" spans="1:7" ht="26" x14ac:dyDescent="0.35">
      <c r="A34" s="315"/>
      <c r="B34" s="157" t="s">
        <v>212</v>
      </c>
      <c r="C34" s="206" t="s">
        <v>197</v>
      </c>
      <c r="D34" s="157"/>
      <c r="E34" s="157"/>
      <c r="F34" s="157"/>
      <c r="G34" s="163"/>
    </row>
    <row r="35" spans="1:7" ht="26" x14ac:dyDescent="0.35">
      <c r="A35" s="315"/>
      <c r="B35" s="157" t="s">
        <v>213</v>
      </c>
      <c r="C35" s="206" t="s">
        <v>197</v>
      </c>
      <c r="D35" s="157"/>
      <c r="E35" s="157"/>
      <c r="F35" s="157"/>
      <c r="G35" s="163"/>
    </row>
    <row r="36" spans="1:7" ht="52" x14ac:dyDescent="0.35">
      <c r="A36" s="315"/>
      <c r="B36" s="157" t="s">
        <v>214</v>
      </c>
      <c r="C36" s="157" t="s">
        <v>215</v>
      </c>
      <c r="D36" s="157"/>
      <c r="E36" s="157"/>
      <c r="F36" s="157"/>
      <c r="G36" s="163"/>
    </row>
    <row r="37" spans="1:7" ht="26" x14ac:dyDescent="0.35">
      <c r="A37" s="315"/>
      <c r="B37" s="157" t="s">
        <v>216</v>
      </c>
      <c r="C37" s="157" t="s">
        <v>217</v>
      </c>
      <c r="D37" s="157"/>
      <c r="E37" s="157"/>
      <c r="F37" s="157"/>
      <c r="G37" s="158" t="s">
        <v>218</v>
      </c>
    </row>
    <row r="38" spans="1:7" ht="26" x14ac:dyDescent="0.35">
      <c r="A38" s="315"/>
      <c r="B38" s="157" t="s">
        <v>219</v>
      </c>
      <c r="C38" s="157" t="s">
        <v>220</v>
      </c>
      <c r="D38" s="157"/>
      <c r="E38" s="157"/>
      <c r="F38" s="157"/>
      <c r="G38" s="163"/>
    </row>
    <row r="39" spans="1:7" ht="26" x14ac:dyDescent="0.35">
      <c r="A39" s="316"/>
      <c r="B39" s="157" t="s">
        <v>221</v>
      </c>
      <c r="C39" s="206" t="s">
        <v>222</v>
      </c>
      <c r="D39" s="157"/>
      <c r="E39" s="157"/>
      <c r="F39" s="157"/>
      <c r="G39" s="163"/>
    </row>
    <row r="40" spans="1:7" x14ac:dyDescent="0.35">
      <c r="A40" s="155" t="s">
        <v>223</v>
      </c>
      <c r="B40" s="157" t="s">
        <v>224</v>
      </c>
      <c r="C40" s="157" t="s">
        <v>225</v>
      </c>
      <c r="D40" s="157"/>
      <c r="E40" s="157"/>
      <c r="F40" s="157"/>
      <c r="G40" s="163"/>
    </row>
    <row r="41" spans="1:7" x14ac:dyDescent="0.35">
      <c r="A41" s="169" t="s">
        <v>226</v>
      </c>
      <c r="B41" s="173"/>
      <c r="C41" s="171"/>
      <c r="D41" s="171"/>
      <c r="E41" s="171"/>
      <c r="F41" s="171"/>
      <c r="G41" s="172"/>
    </row>
    <row r="42" spans="1:7" ht="26" x14ac:dyDescent="0.35">
      <c r="A42" s="164" t="s">
        <v>227</v>
      </c>
      <c r="B42" s="272" t="s">
        <v>228</v>
      </c>
      <c r="C42" s="157" t="s">
        <v>229</v>
      </c>
      <c r="D42" s="162"/>
      <c r="E42" s="162"/>
      <c r="F42" s="162"/>
      <c r="G42" s="163"/>
    </row>
    <row r="43" spans="1:7" ht="26" x14ac:dyDescent="0.35">
      <c r="A43" s="164" t="s">
        <v>227</v>
      </c>
      <c r="B43" s="272" t="s">
        <v>230</v>
      </c>
      <c r="C43" s="157" t="s">
        <v>229</v>
      </c>
      <c r="D43" s="162"/>
      <c r="E43" s="162"/>
      <c r="F43" s="162"/>
      <c r="G43" s="163"/>
    </row>
    <row r="44" spans="1:7" x14ac:dyDescent="0.35">
      <c r="A44" s="308" t="s">
        <v>231</v>
      </c>
      <c r="B44" s="309"/>
      <c r="C44" s="309"/>
      <c r="D44" s="309"/>
      <c r="E44" s="309"/>
      <c r="F44" s="309"/>
      <c r="G44" s="310"/>
    </row>
    <row r="45" spans="1:7" ht="26" x14ac:dyDescent="0.35">
      <c r="A45" s="156" t="s">
        <v>227</v>
      </c>
      <c r="B45" s="157" t="s">
        <v>232</v>
      </c>
      <c r="C45" s="157" t="s">
        <v>233</v>
      </c>
      <c r="D45" s="157"/>
      <c r="E45" s="157"/>
      <c r="F45" s="157"/>
      <c r="G45" s="158" t="s">
        <v>234</v>
      </c>
    </row>
    <row r="46" spans="1:7" ht="26" x14ac:dyDescent="0.35">
      <c r="A46" s="156" t="s">
        <v>235</v>
      </c>
      <c r="B46" s="182" t="s">
        <v>236</v>
      </c>
      <c r="C46" s="157" t="s">
        <v>237</v>
      </c>
      <c r="D46" s="157"/>
      <c r="E46" s="157"/>
      <c r="F46" s="157"/>
      <c r="G46" s="158" t="s">
        <v>238</v>
      </c>
    </row>
    <row r="47" spans="1:7" ht="39" x14ac:dyDescent="0.35">
      <c r="A47" s="156" t="s">
        <v>235</v>
      </c>
      <c r="B47" s="157" t="s">
        <v>239</v>
      </c>
      <c r="C47" s="157" t="s">
        <v>240</v>
      </c>
      <c r="D47" s="157" t="s">
        <v>241</v>
      </c>
      <c r="E47" s="157" t="s">
        <v>242</v>
      </c>
      <c r="F47" s="157" t="s">
        <v>243</v>
      </c>
      <c r="G47" s="158" t="s">
        <v>244</v>
      </c>
    </row>
    <row r="48" spans="1:7" ht="26" x14ac:dyDescent="0.35">
      <c r="A48" s="156" t="s">
        <v>235</v>
      </c>
      <c r="B48" s="157" t="s">
        <v>245</v>
      </c>
      <c r="C48" s="157" t="s">
        <v>246</v>
      </c>
      <c r="D48" s="157"/>
      <c r="E48" s="157"/>
      <c r="F48" s="157"/>
      <c r="G48" s="158" t="s">
        <v>247</v>
      </c>
    </row>
    <row r="49" spans="1:7" ht="26" x14ac:dyDescent="0.35">
      <c r="A49" s="156" t="s">
        <v>235</v>
      </c>
      <c r="B49" s="157" t="s">
        <v>248</v>
      </c>
      <c r="C49" s="157" t="s">
        <v>249</v>
      </c>
      <c r="D49" s="157"/>
      <c r="E49" s="157"/>
      <c r="F49" s="157"/>
      <c r="G49" s="158" t="s">
        <v>250</v>
      </c>
    </row>
    <row r="50" spans="1:7" ht="39" x14ac:dyDescent="0.35">
      <c r="A50" s="156" t="s">
        <v>235</v>
      </c>
      <c r="B50" s="157" t="s">
        <v>251</v>
      </c>
      <c r="C50" s="157" t="s">
        <v>249</v>
      </c>
      <c r="D50" s="157" t="s">
        <v>252</v>
      </c>
      <c r="E50" s="186" t="s">
        <v>242</v>
      </c>
      <c r="F50" s="186" t="s">
        <v>253</v>
      </c>
      <c r="G50" s="158" t="s">
        <v>254</v>
      </c>
    </row>
    <row r="51" spans="1:7" ht="26" x14ac:dyDescent="0.35">
      <c r="A51" s="156" t="s">
        <v>235</v>
      </c>
      <c r="B51" s="157" t="s">
        <v>255</v>
      </c>
      <c r="C51" s="157" t="s">
        <v>249</v>
      </c>
      <c r="D51" s="157" t="s">
        <v>256</v>
      </c>
      <c r="E51" s="157" t="s">
        <v>242</v>
      </c>
      <c r="F51" s="186" t="s">
        <v>257</v>
      </c>
      <c r="G51" s="158" t="s">
        <v>258</v>
      </c>
    </row>
    <row r="52" spans="1:7" ht="26" x14ac:dyDescent="0.35">
      <c r="A52" s="156" t="s">
        <v>235</v>
      </c>
      <c r="B52" s="157" t="s">
        <v>259</v>
      </c>
      <c r="C52" s="157" t="s">
        <v>249</v>
      </c>
      <c r="D52" s="157"/>
      <c r="E52" s="157"/>
      <c r="F52" s="157"/>
      <c r="G52" s="158" t="s">
        <v>260</v>
      </c>
    </row>
    <row r="53" spans="1:7" ht="26" x14ac:dyDescent="0.35">
      <c r="A53" s="195" t="s">
        <v>261</v>
      </c>
      <c r="B53" s="196" t="s">
        <v>262</v>
      </c>
      <c r="C53" s="157" t="s">
        <v>249</v>
      </c>
      <c r="D53" s="193"/>
      <c r="E53" s="196"/>
      <c r="F53" s="196"/>
      <c r="G53" s="197" t="s">
        <v>263</v>
      </c>
    </row>
    <row r="54" spans="1:7" ht="26" x14ac:dyDescent="0.35">
      <c r="A54" s="156" t="s">
        <v>264</v>
      </c>
      <c r="B54" s="157" t="s">
        <v>265</v>
      </c>
      <c r="C54" s="157" t="s">
        <v>266</v>
      </c>
      <c r="D54" s="157"/>
      <c r="E54" s="157"/>
      <c r="F54" s="157"/>
      <c r="G54" s="158"/>
    </row>
    <row r="55" spans="1:7" ht="26" x14ac:dyDescent="0.35">
      <c r="A55" s="156" t="s">
        <v>264</v>
      </c>
      <c r="B55" s="157" t="s">
        <v>267</v>
      </c>
      <c r="C55" s="157" t="s">
        <v>268</v>
      </c>
      <c r="D55" s="157"/>
      <c r="E55" s="157"/>
      <c r="F55" s="157"/>
      <c r="G55" s="158"/>
    </row>
    <row r="56" spans="1:7" x14ac:dyDescent="0.35">
      <c r="A56" s="308" t="s">
        <v>269</v>
      </c>
      <c r="B56" s="309"/>
      <c r="C56" s="309"/>
      <c r="D56" s="309"/>
      <c r="E56" s="309"/>
      <c r="F56" s="309"/>
      <c r="G56" s="310"/>
    </row>
    <row r="57" spans="1:7" ht="26" x14ac:dyDescent="0.35">
      <c r="A57" s="156" t="s">
        <v>227</v>
      </c>
      <c r="B57" s="157" t="s">
        <v>232</v>
      </c>
      <c r="C57" s="157" t="s">
        <v>270</v>
      </c>
      <c r="D57" s="157"/>
      <c r="E57" s="157"/>
      <c r="F57" s="157"/>
      <c r="G57" s="158" t="s">
        <v>271</v>
      </c>
    </row>
    <row r="58" spans="1:7" ht="26" x14ac:dyDescent="0.35">
      <c r="A58" s="156" t="s">
        <v>272</v>
      </c>
      <c r="B58" s="157" t="s">
        <v>273</v>
      </c>
      <c r="C58" s="157" t="s">
        <v>274</v>
      </c>
      <c r="D58" s="157"/>
      <c r="E58" s="157"/>
      <c r="F58" s="157"/>
      <c r="G58" s="158" t="s">
        <v>275</v>
      </c>
    </row>
    <row r="59" spans="1:7" ht="26" x14ac:dyDescent="0.35">
      <c r="A59" s="156" t="s">
        <v>272</v>
      </c>
      <c r="B59" s="157" t="s">
        <v>276</v>
      </c>
      <c r="C59" s="157" t="s">
        <v>274</v>
      </c>
      <c r="D59" s="157"/>
      <c r="E59" s="157"/>
      <c r="F59" s="157"/>
      <c r="G59" s="158" t="s">
        <v>277</v>
      </c>
    </row>
    <row r="60" spans="1:7" ht="52" x14ac:dyDescent="0.35">
      <c r="A60" s="156" t="s">
        <v>272</v>
      </c>
      <c r="B60" s="157" t="s">
        <v>278</v>
      </c>
      <c r="C60" s="157" t="s">
        <v>279</v>
      </c>
      <c r="D60" s="157"/>
      <c r="E60" s="157"/>
      <c r="F60" s="157"/>
      <c r="G60" s="158" t="s">
        <v>280</v>
      </c>
    </row>
    <row r="61" spans="1:7" ht="52" x14ac:dyDescent="0.35">
      <c r="A61" s="156" t="s">
        <v>272</v>
      </c>
      <c r="B61" s="157" t="s">
        <v>281</v>
      </c>
      <c r="C61" s="157" t="s">
        <v>282</v>
      </c>
      <c r="D61" s="157"/>
      <c r="E61" s="157"/>
      <c r="F61" s="157"/>
      <c r="G61" s="158" t="s">
        <v>283</v>
      </c>
    </row>
    <row r="62" spans="1:7" ht="52" x14ac:dyDescent="0.35">
      <c r="A62" s="156" t="s">
        <v>272</v>
      </c>
      <c r="B62" s="157" t="s">
        <v>284</v>
      </c>
      <c r="C62" s="157" t="s">
        <v>285</v>
      </c>
      <c r="D62" s="157"/>
      <c r="E62" s="157"/>
      <c r="F62" s="157"/>
      <c r="G62" s="158" t="s">
        <v>286</v>
      </c>
    </row>
    <row r="63" spans="1:7" ht="26" x14ac:dyDescent="0.35">
      <c r="A63" s="156" t="s">
        <v>287</v>
      </c>
      <c r="B63" s="157" t="s">
        <v>288</v>
      </c>
      <c r="C63" s="157" t="s">
        <v>289</v>
      </c>
      <c r="D63" s="157"/>
      <c r="E63" s="157"/>
      <c r="F63" s="157"/>
      <c r="G63" s="158"/>
    </row>
    <row r="64" spans="1:7" ht="26" x14ac:dyDescent="0.35">
      <c r="A64" s="156" t="s">
        <v>287</v>
      </c>
      <c r="B64" s="157" t="s">
        <v>290</v>
      </c>
      <c r="C64" s="157" t="s">
        <v>289</v>
      </c>
      <c r="D64" s="157"/>
      <c r="E64" s="157"/>
      <c r="F64" s="157"/>
      <c r="G64" s="158"/>
    </row>
    <row r="65" spans="1:7" ht="26" x14ac:dyDescent="0.35">
      <c r="A65" s="156" t="s">
        <v>264</v>
      </c>
      <c r="B65" s="157" t="s">
        <v>291</v>
      </c>
      <c r="C65" s="157" t="s">
        <v>289</v>
      </c>
      <c r="D65" s="157"/>
      <c r="E65" s="157"/>
      <c r="F65" s="157"/>
      <c r="G65" s="158"/>
    </row>
    <row r="66" spans="1:7" x14ac:dyDescent="0.35">
      <c r="A66" s="308" t="s">
        <v>292</v>
      </c>
      <c r="B66" s="309"/>
      <c r="C66" s="309"/>
      <c r="D66" s="309"/>
      <c r="E66" s="309"/>
      <c r="F66" s="309"/>
      <c r="G66" s="310"/>
    </row>
    <row r="67" spans="1:7" ht="26" x14ac:dyDescent="0.35">
      <c r="A67" s="156" t="s">
        <v>227</v>
      </c>
      <c r="B67" s="157" t="s">
        <v>232</v>
      </c>
      <c r="C67" s="157" t="s">
        <v>293</v>
      </c>
      <c r="D67" s="157"/>
      <c r="E67" s="157"/>
      <c r="F67" s="157"/>
      <c r="G67" s="158" t="s">
        <v>294</v>
      </c>
    </row>
    <row r="68" spans="1:7" ht="26" x14ac:dyDescent="0.35">
      <c r="A68" s="156" t="s">
        <v>295</v>
      </c>
      <c r="B68" s="157" t="s">
        <v>296</v>
      </c>
      <c r="C68" s="157" t="s">
        <v>297</v>
      </c>
      <c r="D68" s="157"/>
      <c r="E68" s="157"/>
      <c r="F68" s="157"/>
      <c r="G68" s="158" t="s">
        <v>298</v>
      </c>
    </row>
    <row r="69" spans="1:7" ht="26" x14ac:dyDescent="0.35">
      <c r="A69" s="156" t="s">
        <v>295</v>
      </c>
      <c r="B69" s="157" t="s">
        <v>299</v>
      </c>
      <c r="C69" s="157" t="s">
        <v>300</v>
      </c>
      <c r="D69" s="157"/>
      <c r="E69" s="157"/>
      <c r="F69" s="157"/>
      <c r="G69" s="158" t="s">
        <v>301</v>
      </c>
    </row>
    <row r="70" spans="1:7" ht="52" x14ac:dyDescent="0.35">
      <c r="A70" s="156" t="s">
        <v>295</v>
      </c>
      <c r="B70" s="157" t="s">
        <v>302</v>
      </c>
      <c r="C70" s="157" t="s">
        <v>303</v>
      </c>
      <c r="D70" s="157"/>
      <c r="E70" s="157"/>
      <c r="F70" s="157"/>
      <c r="G70" s="158" t="s">
        <v>304</v>
      </c>
    </row>
    <row r="71" spans="1:7" ht="52" x14ac:dyDescent="0.35">
      <c r="A71" s="156" t="s">
        <v>295</v>
      </c>
      <c r="B71" s="157" t="s">
        <v>305</v>
      </c>
      <c r="C71" s="157" t="s">
        <v>306</v>
      </c>
      <c r="D71" s="157"/>
      <c r="E71" s="157"/>
      <c r="F71" s="157"/>
      <c r="G71" s="158" t="s">
        <v>307</v>
      </c>
    </row>
    <row r="72" spans="1:7" ht="52" x14ac:dyDescent="0.35">
      <c r="A72" s="156" t="s">
        <v>295</v>
      </c>
      <c r="B72" s="157" t="s">
        <v>308</v>
      </c>
      <c r="C72" s="157" t="s">
        <v>309</v>
      </c>
      <c r="D72" s="157"/>
      <c r="E72" s="157"/>
      <c r="F72" s="157"/>
      <c r="G72" s="158" t="s">
        <v>310</v>
      </c>
    </row>
    <row r="73" spans="1:7" ht="26" x14ac:dyDescent="0.35">
      <c r="A73" s="156" t="s">
        <v>311</v>
      </c>
      <c r="B73" s="160" t="s">
        <v>312</v>
      </c>
      <c r="C73" s="157" t="s">
        <v>313</v>
      </c>
      <c r="D73" s="160"/>
      <c r="E73" s="160"/>
      <c r="F73" s="160"/>
      <c r="G73" s="161" t="s">
        <v>314</v>
      </c>
    </row>
    <row r="74" spans="1:7" ht="57" customHeight="1" x14ac:dyDescent="0.35">
      <c r="A74" s="159" t="s">
        <v>315</v>
      </c>
      <c r="B74" s="160" t="s">
        <v>316</v>
      </c>
      <c r="C74" s="157" t="s">
        <v>303</v>
      </c>
      <c r="D74" s="160"/>
      <c r="E74" s="160"/>
      <c r="F74" s="160"/>
      <c r="G74" s="161"/>
    </row>
    <row r="75" spans="1:7" ht="52" x14ac:dyDescent="0.35">
      <c r="A75" s="159" t="s">
        <v>315</v>
      </c>
      <c r="B75" s="160" t="s">
        <v>317</v>
      </c>
      <c r="C75" s="157" t="s">
        <v>303</v>
      </c>
      <c r="D75" s="160"/>
      <c r="E75" s="160"/>
      <c r="F75" s="160"/>
      <c r="G75" s="161"/>
    </row>
    <row r="76" spans="1:7" ht="52" x14ac:dyDescent="0.35">
      <c r="A76" s="159" t="s">
        <v>315</v>
      </c>
      <c r="B76" s="160" t="s">
        <v>318</v>
      </c>
      <c r="C76" s="157" t="s">
        <v>303</v>
      </c>
      <c r="D76" s="160"/>
      <c r="E76" s="160"/>
      <c r="F76" s="160"/>
      <c r="G76" s="161"/>
    </row>
    <row r="77" spans="1:7" ht="52" x14ac:dyDescent="0.35">
      <c r="A77" s="159" t="s">
        <v>315</v>
      </c>
      <c r="B77" s="160" t="s">
        <v>319</v>
      </c>
      <c r="C77" s="157" t="s">
        <v>303</v>
      </c>
      <c r="D77" s="160"/>
      <c r="E77" s="160"/>
      <c r="F77" s="160"/>
      <c r="G77" s="161"/>
    </row>
    <row r="78" spans="1:7" ht="52" x14ac:dyDescent="0.35">
      <c r="A78" s="159" t="s">
        <v>315</v>
      </c>
      <c r="B78" s="160" t="s">
        <v>320</v>
      </c>
      <c r="C78" s="157" t="s">
        <v>306</v>
      </c>
      <c r="D78" s="160"/>
      <c r="E78" s="160"/>
      <c r="F78" s="160"/>
      <c r="G78" s="161"/>
    </row>
    <row r="79" spans="1:7" ht="26" x14ac:dyDescent="0.35">
      <c r="A79" s="159" t="s">
        <v>315</v>
      </c>
      <c r="B79" s="160" t="s">
        <v>321</v>
      </c>
      <c r="C79" s="157" t="s">
        <v>313</v>
      </c>
      <c r="D79" s="160"/>
      <c r="E79" s="160"/>
      <c r="F79" s="160"/>
      <c r="G79" s="161"/>
    </row>
    <row r="80" spans="1:7" ht="26" x14ac:dyDescent="0.35">
      <c r="A80" s="159" t="s">
        <v>315</v>
      </c>
      <c r="B80" s="160" t="s">
        <v>322</v>
      </c>
      <c r="C80" s="157" t="s">
        <v>323</v>
      </c>
      <c r="D80" s="160"/>
      <c r="E80" s="160"/>
      <c r="F80" s="160"/>
      <c r="G80" s="161"/>
    </row>
    <row r="81" spans="1:14" ht="65" x14ac:dyDescent="0.35">
      <c r="A81" s="159" t="s">
        <v>324</v>
      </c>
      <c r="B81" s="160" t="s">
        <v>325</v>
      </c>
      <c r="C81" s="157" t="s">
        <v>326</v>
      </c>
      <c r="D81" s="160"/>
      <c r="E81" s="160"/>
      <c r="F81" s="160"/>
      <c r="G81" s="161" t="s">
        <v>327</v>
      </c>
    </row>
    <row r="82" spans="1:14" ht="26" x14ac:dyDescent="0.35">
      <c r="A82" s="159" t="s">
        <v>324</v>
      </c>
      <c r="B82" s="160" t="s">
        <v>328</v>
      </c>
      <c r="C82" s="157" t="s">
        <v>323</v>
      </c>
      <c r="D82" s="160"/>
      <c r="E82" s="160"/>
      <c r="F82" s="160"/>
      <c r="G82" s="161"/>
    </row>
    <row r="83" spans="1:14" ht="26" x14ac:dyDescent="0.35">
      <c r="A83" s="156" t="s">
        <v>324</v>
      </c>
      <c r="B83" s="157" t="s">
        <v>329</v>
      </c>
      <c r="C83" s="157" t="s">
        <v>323</v>
      </c>
      <c r="D83" s="157"/>
      <c r="E83" s="157"/>
      <c r="F83" s="157"/>
      <c r="G83" s="158"/>
    </row>
    <row r="84" spans="1:14" x14ac:dyDescent="0.35">
      <c r="A84" s="308" t="s">
        <v>330</v>
      </c>
      <c r="B84" s="309"/>
      <c r="C84" s="309"/>
      <c r="D84" s="309"/>
      <c r="E84" s="309"/>
      <c r="F84" s="309"/>
      <c r="G84" s="310"/>
    </row>
    <row r="85" spans="1:14" ht="26" x14ac:dyDescent="0.35">
      <c r="A85" s="156" t="s">
        <v>227</v>
      </c>
      <c r="B85" s="157" t="s">
        <v>232</v>
      </c>
      <c r="C85" s="157" t="s">
        <v>331</v>
      </c>
      <c r="D85" s="157"/>
      <c r="E85" s="157"/>
      <c r="F85" s="157"/>
      <c r="G85" s="158" t="s">
        <v>332</v>
      </c>
    </row>
    <row r="86" spans="1:14" ht="52" x14ac:dyDescent="0.35">
      <c r="A86" s="156" t="s">
        <v>333</v>
      </c>
      <c r="B86" s="157" t="s">
        <v>334</v>
      </c>
      <c r="C86" s="157" t="s">
        <v>335</v>
      </c>
      <c r="D86" s="157"/>
      <c r="E86" s="157"/>
      <c r="F86" s="157"/>
      <c r="G86" s="158" t="s">
        <v>336</v>
      </c>
    </row>
    <row r="87" spans="1:14" ht="26" x14ac:dyDescent="0.35">
      <c r="A87" s="156" t="s">
        <v>333</v>
      </c>
      <c r="B87" s="157" t="s">
        <v>337</v>
      </c>
      <c r="C87" s="157" t="s">
        <v>338</v>
      </c>
      <c r="D87" s="157" t="s">
        <v>339</v>
      </c>
      <c r="E87" s="157" t="s">
        <v>242</v>
      </c>
      <c r="F87" s="157" t="s">
        <v>340</v>
      </c>
      <c r="G87" s="158" t="s">
        <v>341</v>
      </c>
    </row>
    <row r="88" spans="1:14" ht="39" x14ac:dyDescent="0.35">
      <c r="A88" s="156" t="s">
        <v>333</v>
      </c>
      <c r="B88" s="160" t="s">
        <v>342</v>
      </c>
      <c r="C88" s="157" t="s">
        <v>343</v>
      </c>
      <c r="D88" s="160"/>
      <c r="E88" s="160"/>
      <c r="F88" s="160"/>
      <c r="G88" s="158" t="s">
        <v>344</v>
      </c>
    </row>
    <row r="89" spans="1:14" ht="52" x14ac:dyDescent="0.35">
      <c r="A89" s="159" t="s">
        <v>345</v>
      </c>
      <c r="B89" s="160" t="s">
        <v>346</v>
      </c>
      <c r="C89" s="157" t="s">
        <v>347</v>
      </c>
      <c r="D89" s="160"/>
      <c r="E89" s="160"/>
      <c r="F89" s="160"/>
      <c r="G89" s="158" t="s">
        <v>348</v>
      </c>
    </row>
    <row r="90" spans="1:14" ht="52" x14ac:dyDescent="0.35">
      <c r="A90" s="159" t="s">
        <v>345</v>
      </c>
      <c r="B90" s="160" t="s">
        <v>349</v>
      </c>
      <c r="C90" s="157" t="s">
        <v>350</v>
      </c>
      <c r="D90" s="160"/>
      <c r="E90" s="160"/>
      <c r="F90" s="160"/>
      <c r="G90" s="158" t="s">
        <v>351</v>
      </c>
    </row>
    <row r="91" spans="1:14" ht="26" x14ac:dyDescent="0.35">
      <c r="A91" s="159" t="s">
        <v>345</v>
      </c>
      <c r="B91" s="160" t="s">
        <v>352</v>
      </c>
      <c r="C91" s="157" t="s">
        <v>338</v>
      </c>
      <c r="D91" s="157" t="s">
        <v>339</v>
      </c>
      <c r="E91" s="157" t="s">
        <v>242</v>
      </c>
      <c r="F91" s="157" t="s">
        <v>340</v>
      </c>
      <c r="G91" s="158" t="s">
        <v>353</v>
      </c>
    </row>
    <row r="92" spans="1:14" ht="52" x14ac:dyDescent="0.35">
      <c r="A92" s="159" t="s">
        <v>345</v>
      </c>
      <c r="B92" s="160" t="s">
        <v>354</v>
      </c>
      <c r="C92" s="157" t="s">
        <v>355</v>
      </c>
      <c r="D92" s="160"/>
      <c r="E92" s="160"/>
      <c r="F92" s="160"/>
      <c r="G92" s="158" t="s">
        <v>356</v>
      </c>
    </row>
    <row r="93" spans="1:14" ht="26" x14ac:dyDescent="0.35">
      <c r="A93" s="159" t="s">
        <v>345</v>
      </c>
      <c r="B93" s="160" t="s">
        <v>357</v>
      </c>
      <c r="C93" s="200" t="s">
        <v>358</v>
      </c>
      <c r="D93" s="160"/>
      <c r="E93" s="160"/>
      <c r="F93" s="160"/>
      <c r="G93" s="158" t="s">
        <v>359</v>
      </c>
    </row>
    <row r="94" spans="1:14" ht="65" x14ac:dyDescent="0.35">
      <c r="A94" s="188" t="s">
        <v>360</v>
      </c>
      <c r="B94" s="3" t="s">
        <v>361</v>
      </c>
      <c r="C94" s="3" t="s">
        <v>362</v>
      </c>
      <c r="G94" s="187" t="s">
        <v>363</v>
      </c>
    </row>
    <row r="95" spans="1:14" s="23" customFormat="1" ht="52" x14ac:dyDescent="0.35">
      <c r="A95" s="185" t="s">
        <v>345</v>
      </c>
      <c r="B95" s="186" t="s">
        <v>364</v>
      </c>
      <c r="C95" s="157" t="s">
        <v>365</v>
      </c>
      <c r="D95" s="186" t="s">
        <v>339</v>
      </c>
      <c r="E95" s="198" t="s">
        <v>242</v>
      </c>
      <c r="F95" s="198" t="s">
        <v>366</v>
      </c>
      <c r="G95" s="187" t="s">
        <v>367</v>
      </c>
      <c r="H95" s="22"/>
      <c r="I95" s="22"/>
      <c r="J95" s="22"/>
      <c r="K95" s="22"/>
      <c r="L95" s="22"/>
      <c r="M95" s="184"/>
      <c r="N95" s="184"/>
    </row>
    <row r="96" spans="1:14" s="23" customFormat="1" ht="52" x14ac:dyDescent="0.35">
      <c r="A96" s="190" t="s">
        <v>368</v>
      </c>
      <c r="B96" s="191" t="s">
        <v>369</v>
      </c>
      <c r="C96" s="157" t="s">
        <v>370</v>
      </c>
      <c r="D96" s="191" t="s">
        <v>371</v>
      </c>
      <c r="E96" s="191" t="s">
        <v>372</v>
      </c>
      <c r="F96" s="191" t="s">
        <v>373</v>
      </c>
      <c r="G96" s="192"/>
      <c r="H96" s="22"/>
      <c r="I96" s="22"/>
      <c r="J96" s="22"/>
      <c r="K96" s="22"/>
      <c r="L96" s="22"/>
      <c r="M96" s="184"/>
      <c r="N96" s="184"/>
    </row>
    <row r="97" spans="1:14" s="23" customFormat="1" ht="39" x14ac:dyDescent="0.35">
      <c r="A97" s="190" t="s">
        <v>368</v>
      </c>
      <c r="B97" s="191" t="s">
        <v>374</v>
      </c>
      <c r="C97" s="157" t="s">
        <v>375</v>
      </c>
      <c r="D97" s="191"/>
      <c r="E97" s="191"/>
      <c r="F97" s="191"/>
      <c r="G97" s="192"/>
      <c r="H97" s="22"/>
      <c r="I97" s="22"/>
      <c r="J97" s="22"/>
      <c r="K97" s="22"/>
      <c r="L97" s="22"/>
      <c r="M97" s="184"/>
      <c r="N97" s="184"/>
    </row>
    <row r="98" spans="1:14" s="23" customFormat="1" ht="52" x14ac:dyDescent="0.35">
      <c r="A98" s="195" t="s">
        <v>376</v>
      </c>
      <c r="B98" s="196" t="s">
        <v>377</v>
      </c>
      <c r="C98" s="157" t="s">
        <v>365</v>
      </c>
      <c r="D98" s="196" t="s">
        <v>339</v>
      </c>
      <c r="E98" s="196" t="s">
        <v>242</v>
      </c>
      <c r="F98" s="196" t="s">
        <v>366</v>
      </c>
      <c r="G98" s="197"/>
      <c r="H98" s="22"/>
      <c r="I98" s="22"/>
      <c r="J98" s="22"/>
      <c r="K98" s="22"/>
      <c r="L98" s="22"/>
      <c r="M98" s="184"/>
      <c r="N98" s="184"/>
    </row>
    <row r="99" spans="1:14" s="23" customFormat="1" ht="52" x14ac:dyDescent="0.35">
      <c r="A99" s="224" t="s">
        <v>378</v>
      </c>
      <c r="B99" s="131" t="s">
        <v>379</v>
      </c>
      <c r="C99" s="200" t="s">
        <v>335</v>
      </c>
      <c r="D99" s="131"/>
      <c r="E99" s="131"/>
      <c r="F99" s="131"/>
      <c r="G99" s="132"/>
      <c r="H99" s="22"/>
      <c r="I99" s="22"/>
      <c r="J99" s="22"/>
      <c r="K99" s="22"/>
      <c r="L99" s="22"/>
      <c r="M99" s="184"/>
      <c r="N99" s="184"/>
    </row>
    <row r="100" spans="1:14" x14ac:dyDescent="0.35">
      <c r="A100" s="308" t="s">
        <v>380</v>
      </c>
      <c r="B100" s="309"/>
      <c r="C100" s="309"/>
      <c r="D100" s="309"/>
      <c r="E100" s="309"/>
      <c r="F100" s="309"/>
      <c r="G100" s="310"/>
    </row>
    <row r="101" spans="1:14" ht="26" x14ac:dyDescent="0.35">
      <c r="A101" s="156" t="s">
        <v>227</v>
      </c>
      <c r="B101" s="157" t="s">
        <v>232</v>
      </c>
      <c r="C101" s="206" t="s">
        <v>381</v>
      </c>
      <c r="D101" s="157"/>
      <c r="E101" s="157"/>
      <c r="F101" s="157"/>
      <c r="G101" s="158" t="s">
        <v>382</v>
      </c>
    </row>
    <row r="102" spans="1:14" ht="26" x14ac:dyDescent="0.35">
      <c r="A102" s="156" t="s">
        <v>383</v>
      </c>
      <c r="B102" s="157" t="s">
        <v>384</v>
      </c>
      <c r="C102" s="206" t="s">
        <v>222</v>
      </c>
      <c r="D102" s="157"/>
      <c r="E102" s="157"/>
      <c r="F102" s="157"/>
      <c r="G102" s="158" t="s">
        <v>385</v>
      </c>
    </row>
    <row r="103" spans="1:14" ht="52" x14ac:dyDescent="0.35">
      <c r="A103" s="156" t="s">
        <v>386</v>
      </c>
      <c r="B103" s="157" t="s">
        <v>387</v>
      </c>
      <c r="C103" s="206" t="s">
        <v>388</v>
      </c>
      <c r="D103" s="157"/>
      <c r="E103" s="157"/>
      <c r="F103" s="157"/>
      <c r="G103" s="158" t="s">
        <v>389</v>
      </c>
    </row>
    <row r="104" spans="1:14" ht="26" x14ac:dyDescent="0.35">
      <c r="A104" s="156" t="s">
        <v>386</v>
      </c>
      <c r="B104" s="157" t="s">
        <v>390</v>
      </c>
      <c r="C104" s="206" t="s">
        <v>391</v>
      </c>
      <c r="D104" s="157"/>
      <c r="E104" s="157"/>
      <c r="F104" s="157"/>
      <c r="G104" s="158" t="s">
        <v>392</v>
      </c>
    </row>
    <row r="105" spans="1:14" ht="39" x14ac:dyDescent="0.35">
      <c r="A105" s="156" t="s">
        <v>386</v>
      </c>
      <c r="B105" s="157" t="s">
        <v>393</v>
      </c>
      <c r="C105" s="206" t="s">
        <v>394</v>
      </c>
      <c r="D105" s="157"/>
      <c r="E105" s="157"/>
      <c r="F105" s="157"/>
      <c r="G105" s="158" t="s">
        <v>395</v>
      </c>
    </row>
    <row r="106" spans="1:14" ht="26" x14ac:dyDescent="0.35">
      <c r="A106" s="156" t="s">
        <v>396</v>
      </c>
      <c r="B106" s="157" t="s">
        <v>397</v>
      </c>
      <c r="C106" s="206" t="s">
        <v>391</v>
      </c>
      <c r="D106" s="157"/>
      <c r="E106" s="157"/>
      <c r="F106" s="157"/>
      <c r="G106" s="158" t="s">
        <v>398</v>
      </c>
    </row>
    <row r="107" spans="1:14" ht="26" x14ac:dyDescent="0.35">
      <c r="A107" s="156" t="s">
        <v>399</v>
      </c>
      <c r="B107" s="157" t="s">
        <v>400</v>
      </c>
      <c r="C107" s="206" t="s">
        <v>391</v>
      </c>
      <c r="D107" s="157"/>
      <c r="E107" s="157"/>
      <c r="F107" s="157"/>
      <c r="G107" s="158" t="s">
        <v>401</v>
      </c>
    </row>
    <row r="108" spans="1:14" ht="26" x14ac:dyDescent="0.35">
      <c r="A108" s="156" t="s">
        <v>399</v>
      </c>
      <c r="B108" s="157" t="s">
        <v>402</v>
      </c>
      <c r="C108" s="206" t="s">
        <v>391</v>
      </c>
      <c r="D108" s="157"/>
      <c r="E108" s="157"/>
      <c r="F108" s="157"/>
      <c r="G108" s="158" t="s">
        <v>403</v>
      </c>
    </row>
    <row r="109" spans="1:14" ht="52" x14ac:dyDescent="0.35">
      <c r="A109" s="156" t="s">
        <v>404</v>
      </c>
      <c r="B109" s="157" t="s">
        <v>405</v>
      </c>
      <c r="C109" s="206" t="s">
        <v>406</v>
      </c>
      <c r="D109" s="157"/>
      <c r="E109" s="157"/>
      <c r="F109" s="157"/>
      <c r="G109" s="158" t="s">
        <v>407</v>
      </c>
    </row>
    <row r="110" spans="1:14" ht="52" x14ac:dyDescent="0.35">
      <c r="A110" s="156" t="s">
        <v>408</v>
      </c>
      <c r="B110" s="157" t="s">
        <v>409</v>
      </c>
      <c r="C110" s="206" t="s">
        <v>410</v>
      </c>
      <c r="D110" s="157"/>
      <c r="E110" s="157"/>
      <c r="F110" s="157"/>
      <c r="G110" s="158" t="s">
        <v>411</v>
      </c>
    </row>
    <row r="111" spans="1:14" ht="26" x14ac:dyDescent="0.35">
      <c r="A111" s="156" t="s">
        <v>412</v>
      </c>
      <c r="B111" s="157" t="s">
        <v>413</v>
      </c>
      <c r="C111" s="206" t="s">
        <v>391</v>
      </c>
      <c r="D111" s="157"/>
      <c r="E111" s="157"/>
      <c r="F111" s="157"/>
      <c r="G111" s="158" t="s">
        <v>414</v>
      </c>
    </row>
    <row r="112" spans="1:14" ht="26" x14ac:dyDescent="0.35">
      <c r="A112" s="156" t="s">
        <v>415</v>
      </c>
      <c r="B112" s="157" t="s">
        <v>416</v>
      </c>
      <c r="C112" s="206" t="s">
        <v>391</v>
      </c>
      <c r="D112" s="157"/>
      <c r="E112" s="157"/>
      <c r="F112" s="157"/>
      <c r="G112" s="158" t="s">
        <v>417</v>
      </c>
    </row>
    <row r="113" spans="1:7" ht="26" x14ac:dyDescent="0.35">
      <c r="A113" s="156" t="s">
        <v>418</v>
      </c>
      <c r="B113" s="157" t="s">
        <v>419</v>
      </c>
      <c r="C113" s="206" t="s">
        <v>391</v>
      </c>
      <c r="D113" s="157"/>
      <c r="E113" s="157"/>
      <c r="F113" s="157"/>
      <c r="G113" s="158" t="s">
        <v>420</v>
      </c>
    </row>
    <row r="114" spans="1:7" ht="26" x14ac:dyDescent="0.35">
      <c r="A114" s="156" t="s">
        <v>421</v>
      </c>
      <c r="B114" s="157" t="s">
        <v>422</v>
      </c>
      <c r="C114" s="206" t="s">
        <v>391</v>
      </c>
      <c r="D114" s="157"/>
      <c r="E114" s="157"/>
      <c r="F114" s="157"/>
      <c r="G114" s="158" t="s">
        <v>423</v>
      </c>
    </row>
    <row r="115" spans="1:7" ht="52" x14ac:dyDescent="0.35">
      <c r="A115" s="205" t="s">
        <v>223</v>
      </c>
      <c r="B115" s="206" t="s">
        <v>424</v>
      </c>
      <c r="C115" s="206" t="s">
        <v>425</v>
      </c>
      <c r="D115" s="206"/>
      <c r="E115" s="206"/>
      <c r="F115" s="206"/>
      <c r="G115" s="207"/>
    </row>
    <row r="116" spans="1:7" ht="26" x14ac:dyDescent="0.35">
      <c r="A116" s="203" t="s">
        <v>426</v>
      </c>
      <c r="B116" s="200" t="s">
        <v>427</v>
      </c>
      <c r="C116" s="206" t="s">
        <v>391</v>
      </c>
      <c r="D116" s="200"/>
      <c r="E116" s="200"/>
      <c r="F116" s="200"/>
      <c r="G116" s="201"/>
    </row>
    <row r="117" spans="1:7" ht="26" x14ac:dyDescent="0.35">
      <c r="A117" s="205" t="s">
        <v>426</v>
      </c>
      <c r="B117" s="29" t="s">
        <v>428</v>
      </c>
      <c r="C117" s="206" t="s">
        <v>391</v>
      </c>
      <c r="D117" s="29"/>
      <c r="E117" s="29"/>
      <c r="F117" s="29"/>
      <c r="G117" s="158" t="s">
        <v>429</v>
      </c>
    </row>
    <row r="118" spans="1:7" x14ac:dyDescent="0.35">
      <c r="A118" s="308" t="s">
        <v>430</v>
      </c>
      <c r="B118" s="309"/>
      <c r="C118" s="309"/>
      <c r="D118" s="309"/>
      <c r="E118" s="309"/>
      <c r="F118" s="309"/>
      <c r="G118" s="310"/>
    </row>
    <row r="119" spans="1:7" ht="26" x14ac:dyDescent="0.35">
      <c r="A119" s="156" t="s">
        <v>227</v>
      </c>
      <c r="B119" s="157" t="s">
        <v>232</v>
      </c>
      <c r="C119" s="206" t="s">
        <v>431</v>
      </c>
      <c r="D119" s="157"/>
      <c r="E119" s="157"/>
      <c r="F119" s="157"/>
      <c r="G119" s="158" t="s">
        <v>432</v>
      </c>
    </row>
    <row r="120" spans="1:7" ht="26" x14ac:dyDescent="0.35">
      <c r="A120" s="156" t="s">
        <v>433</v>
      </c>
      <c r="B120" s="157" t="s">
        <v>434</v>
      </c>
      <c r="C120" s="206" t="s">
        <v>435</v>
      </c>
      <c r="D120" s="157"/>
      <c r="E120" s="157"/>
      <c r="F120" s="157"/>
      <c r="G120" s="158" t="s">
        <v>436</v>
      </c>
    </row>
    <row r="121" spans="1:7" ht="26" x14ac:dyDescent="0.35">
      <c r="A121" s="156" t="s">
        <v>433</v>
      </c>
      <c r="B121" s="157" t="s">
        <v>437</v>
      </c>
      <c r="C121" s="206" t="s">
        <v>438</v>
      </c>
      <c r="D121" s="157"/>
      <c r="E121" s="157"/>
      <c r="F121" s="157"/>
      <c r="G121" s="158" t="s">
        <v>439</v>
      </c>
    </row>
    <row r="122" spans="1:7" ht="26" x14ac:dyDescent="0.35">
      <c r="A122" s="156" t="s">
        <v>433</v>
      </c>
      <c r="B122" s="157" t="s">
        <v>440</v>
      </c>
      <c r="C122" s="206" t="s">
        <v>438</v>
      </c>
      <c r="D122" s="157"/>
      <c r="E122" s="157"/>
      <c r="F122" s="157"/>
      <c r="G122" s="158" t="s">
        <v>441</v>
      </c>
    </row>
    <row r="123" spans="1:7" ht="26" x14ac:dyDescent="0.35">
      <c r="A123" s="156" t="s">
        <v>433</v>
      </c>
      <c r="B123" s="157" t="s">
        <v>442</v>
      </c>
      <c r="C123" s="206" t="s">
        <v>438</v>
      </c>
      <c r="D123" s="157"/>
      <c r="E123" s="157"/>
      <c r="F123" s="157"/>
      <c r="G123" s="158" t="s">
        <v>443</v>
      </c>
    </row>
    <row r="124" spans="1:7" ht="26" x14ac:dyDescent="0.35">
      <c r="A124" s="156" t="s">
        <v>433</v>
      </c>
      <c r="B124" s="157" t="s">
        <v>444</v>
      </c>
      <c r="C124" s="206" t="s">
        <v>445</v>
      </c>
      <c r="D124" s="157"/>
      <c r="E124" s="157"/>
      <c r="F124" s="157"/>
      <c r="G124" s="158" t="s">
        <v>446</v>
      </c>
    </row>
    <row r="125" spans="1:7" ht="26" x14ac:dyDescent="0.35">
      <c r="A125" s="156" t="s">
        <v>433</v>
      </c>
      <c r="B125" s="157" t="s">
        <v>447</v>
      </c>
      <c r="C125" s="206" t="s">
        <v>438</v>
      </c>
      <c r="D125" s="157"/>
      <c r="E125" s="157"/>
      <c r="F125" s="157"/>
      <c r="G125" s="158" t="s">
        <v>448</v>
      </c>
    </row>
    <row r="126" spans="1:7" ht="26" x14ac:dyDescent="0.35">
      <c r="A126" s="156" t="s">
        <v>433</v>
      </c>
      <c r="B126" s="157" t="s">
        <v>449</v>
      </c>
      <c r="C126" s="206" t="s">
        <v>438</v>
      </c>
      <c r="D126" s="157"/>
      <c r="E126" s="157"/>
      <c r="F126" s="157"/>
      <c r="G126" s="158" t="s">
        <v>450</v>
      </c>
    </row>
    <row r="127" spans="1:7" ht="26" x14ac:dyDescent="0.35">
      <c r="A127" s="156" t="s">
        <v>433</v>
      </c>
      <c r="B127" s="157" t="s">
        <v>451</v>
      </c>
      <c r="C127" s="206" t="s">
        <v>445</v>
      </c>
      <c r="D127" s="157"/>
      <c r="E127" s="157"/>
      <c r="F127" s="157"/>
      <c r="G127" s="158" t="s">
        <v>452</v>
      </c>
    </row>
    <row r="128" spans="1:7" ht="52" x14ac:dyDescent="0.35">
      <c r="A128" s="156" t="s">
        <v>433</v>
      </c>
      <c r="B128" s="157" t="s">
        <v>453</v>
      </c>
      <c r="C128" s="206" t="s">
        <v>454</v>
      </c>
      <c r="D128" s="157"/>
      <c r="E128" s="157"/>
      <c r="F128" s="157"/>
      <c r="G128" s="158" t="s">
        <v>455</v>
      </c>
    </row>
    <row r="129" spans="1:7" ht="52" x14ac:dyDescent="0.35">
      <c r="A129" s="156" t="s">
        <v>433</v>
      </c>
      <c r="B129" s="157" t="s">
        <v>456</v>
      </c>
      <c r="C129" s="206" t="s">
        <v>457</v>
      </c>
      <c r="D129" s="157"/>
      <c r="E129" s="157"/>
      <c r="F129" s="157"/>
      <c r="G129" s="158" t="s">
        <v>458</v>
      </c>
    </row>
    <row r="130" spans="1:7" ht="26" x14ac:dyDescent="0.35">
      <c r="A130" s="195" t="s">
        <v>261</v>
      </c>
      <c r="B130" s="157" t="s">
        <v>459</v>
      </c>
      <c r="C130" s="206" t="s">
        <v>445</v>
      </c>
      <c r="D130" s="157"/>
      <c r="E130" s="157"/>
      <c r="F130" s="157"/>
      <c r="G130" s="158" t="s">
        <v>460</v>
      </c>
    </row>
    <row r="131" spans="1:7" ht="26" x14ac:dyDescent="0.35">
      <c r="A131" s="195" t="s">
        <v>261</v>
      </c>
      <c r="B131" s="157" t="s">
        <v>461</v>
      </c>
      <c r="C131" s="206" t="s">
        <v>438</v>
      </c>
      <c r="D131" s="157"/>
      <c r="E131" s="157"/>
      <c r="F131" s="157"/>
      <c r="G131" s="158" t="s">
        <v>462</v>
      </c>
    </row>
    <row r="132" spans="1:7" ht="52" x14ac:dyDescent="0.35">
      <c r="A132" s="205" t="s">
        <v>463</v>
      </c>
      <c r="B132" s="206" t="s">
        <v>464</v>
      </c>
      <c r="C132" s="206" t="s">
        <v>454</v>
      </c>
      <c r="D132" s="206" t="s">
        <v>465</v>
      </c>
      <c r="E132" s="196" t="s">
        <v>466</v>
      </c>
      <c r="F132" s="206" t="s">
        <v>467</v>
      </c>
      <c r="G132" s="207"/>
    </row>
    <row r="133" spans="1:7" x14ac:dyDescent="0.35">
      <c r="A133" s="308" t="s">
        <v>468</v>
      </c>
      <c r="B133" s="309"/>
      <c r="C133" s="309"/>
      <c r="D133" s="309"/>
      <c r="E133" s="309"/>
      <c r="F133" s="309"/>
      <c r="G133" s="310"/>
    </row>
    <row r="134" spans="1:7" ht="39" x14ac:dyDescent="0.35">
      <c r="A134" s="156" t="s">
        <v>227</v>
      </c>
      <c r="B134" s="157" t="s">
        <v>232</v>
      </c>
      <c r="C134" s="206" t="s">
        <v>469</v>
      </c>
      <c r="D134" s="157"/>
      <c r="E134" s="157"/>
      <c r="F134" s="157"/>
      <c r="G134" s="158" t="s">
        <v>470</v>
      </c>
    </row>
    <row r="135" spans="1:7" ht="65" x14ac:dyDescent="0.35">
      <c r="A135" s="156" t="s">
        <v>471</v>
      </c>
      <c r="B135" s="157" t="s">
        <v>472</v>
      </c>
      <c r="C135" s="206" t="s">
        <v>473</v>
      </c>
      <c r="D135" s="157"/>
      <c r="E135" s="157"/>
      <c r="F135" s="157"/>
      <c r="G135" s="158" t="s">
        <v>474</v>
      </c>
    </row>
    <row r="136" spans="1:7" ht="65" x14ac:dyDescent="0.35">
      <c r="A136" s="156" t="s">
        <v>471</v>
      </c>
      <c r="B136" s="157" t="s">
        <v>475</v>
      </c>
      <c r="C136" s="206" t="s">
        <v>476</v>
      </c>
      <c r="D136" s="157"/>
      <c r="E136" s="157"/>
      <c r="F136" s="157"/>
      <c r="G136" s="158" t="s">
        <v>477</v>
      </c>
    </row>
    <row r="137" spans="1:7" ht="39" x14ac:dyDescent="0.35">
      <c r="A137" s="156" t="s">
        <v>471</v>
      </c>
      <c r="B137" s="157" t="s">
        <v>478</v>
      </c>
      <c r="C137" s="206" t="s">
        <v>479</v>
      </c>
      <c r="D137" s="157"/>
      <c r="E137" s="157"/>
      <c r="F137" s="157"/>
      <c r="G137" s="158" t="s">
        <v>480</v>
      </c>
    </row>
    <row r="138" spans="1:7" ht="26" x14ac:dyDescent="0.35">
      <c r="A138" s="156" t="s">
        <v>481</v>
      </c>
      <c r="B138" s="157" t="s">
        <v>482</v>
      </c>
      <c r="C138" s="206" t="s">
        <v>483</v>
      </c>
      <c r="D138" s="157"/>
      <c r="E138" s="157"/>
      <c r="F138" s="157"/>
      <c r="G138" s="158" t="s">
        <v>484</v>
      </c>
    </row>
    <row r="139" spans="1:7" ht="26" x14ac:dyDescent="0.35">
      <c r="A139" s="195" t="s">
        <v>261</v>
      </c>
      <c r="B139" s="157" t="s">
        <v>485</v>
      </c>
      <c r="C139" s="206" t="s">
        <v>483</v>
      </c>
      <c r="D139" s="157"/>
      <c r="E139" s="157"/>
      <c r="F139" s="157"/>
      <c r="G139" s="158" t="s">
        <v>486</v>
      </c>
    </row>
    <row r="140" spans="1:7" ht="26" x14ac:dyDescent="0.35">
      <c r="A140" s="156" t="s">
        <v>487</v>
      </c>
      <c r="B140" s="157" t="s">
        <v>488</v>
      </c>
      <c r="C140" s="206" t="s">
        <v>483</v>
      </c>
      <c r="D140" s="157"/>
      <c r="E140" s="157"/>
      <c r="F140" s="157"/>
      <c r="G140" s="158" t="s">
        <v>489</v>
      </c>
    </row>
    <row r="141" spans="1:7" ht="52" x14ac:dyDescent="0.35">
      <c r="A141" s="195" t="s">
        <v>487</v>
      </c>
      <c r="B141" s="228" t="s">
        <v>490</v>
      </c>
      <c r="C141" s="186" t="s">
        <v>491</v>
      </c>
      <c r="D141" s="131"/>
      <c r="E141" s="131"/>
      <c r="F141" s="131"/>
      <c r="G141" s="132"/>
    </row>
    <row r="142" spans="1:7" ht="39" x14ac:dyDescent="0.35">
      <c r="A142" s="156" t="s">
        <v>492</v>
      </c>
      <c r="B142" s="157" t="s">
        <v>493</v>
      </c>
      <c r="C142" s="206" t="s">
        <v>469</v>
      </c>
      <c r="D142" s="157"/>
      <c r="E142" s="157"/>
      <c r="F142" s="157"/>
      <c r="G142" s="158"/>
    </row>
    <row r="143" spans="1:7" ht="26" x14ac:dyDescent="0.35">
      <c r="A143" s="156" t="s">
        <v>492</v>
      </c>
      <c r="B143" s="157" t="s">
        <v>494</v>
      </c>
      <c r="C143" s="206" t="s">
        <v>483</v>
      </c>
      <c r="D143" s="157"/>
      <c r="E143" s="157"/>
      <c r="F143" s="157"/>
      <c r="G143" s="199"/>
    </row>
    <row r="144" spans="1:7" x14ac:dyDescent="0.35">
      <c r="A144" s="308" t="s">
        <v>495</v>
      </c>
      <c r="B144" s="309"/>
      <c r="C144" s="309"/>
      <c r="D144" s="309"/>
      <c r="E144" s="309"/>
      <c r="F144" s="309"/>
      <c r="G144" s="310"/>
    </row>
    <row r="145" spans="1:7" ht="26" x14ac:dyDescent="0.35">
      <c r="A145" s="156" t="s">
        <v>227</v>
      </c>
      <c r="B145" s="157" t="s">
        <v>232</v>
      </c>
      <c r="C145" s="206" t="s">
        <v>496</v>
      </c>
      <c r="D145" s="157"/>
      <c r="E145" s="157"/>
      <c r="F145" s="157"/>
      <c r="G145" s="158" t="s">
        <v>497</v>
      </c>
    </row>
    <row r="146" spans="1:7" ht="65" x14ac:dyDescent="0.35">
      <c r="A146" s="195" t="s">
        <v>261</v>
      </c>
      <c r="B146" s="157" t="s">
        <v>498</v>
      </c>
      <c r="C146" s="206" t="s">
        <v>499</v>
      </c>
      <c r="D146" s="157"/>
      <c r="E146" s="157"/>
      <c r="F146" s="157"/>
      <c r="G146" s="158" t="s">
        <v>500</v>
      </c>
    </row>
    <row r="147" spans="1:7" ht="26" x14ac:dyDescent="0.35">
      <c r="A147" s="195" t="s">
        <v>261</v>
      </c>
      <c r="B147" s="157" t="s">
        <v>501</v>
      </c>
      <c r="C147" s="157" t="s">
        <v>502</v>
      </c>
      <c r="D147" s="157"/>
      <c r="E147" s="157"/>
      <c r="F147" s="157"/>
      <c r="G147" s="158" t="s">
        <v>503</v>
      </c>
    </row>
    <row r="148" spans="1:7" ht="26" x14ac:dyDescent="0.35">
      <c r="A148" s="195" t="s">
        <v>261</v>
      </c>
      <c r="B148" s="157" t="s">
        <v>504</v>
      </c>
      <c r="C148" s="157" t="s">
        <v>502</v>
      </c>
      <c r="D148" s="157"/>
      <c r="E148" s="157"/>
      <c r="F148" s="157"/>
      <c r="G148" s="158" t="s">
        <v>505</v>
      </c>
    </row>
    <row r="149" spans="1:7" ht="26" x14ac:dyDescent="0.35">
      <c r="A149" s="195" t="s">
        <v>261</v>
      </c>
      <c r="B149" s="157" t="s">
        <v>506</v>
      </c>
      <c r="C149" s="157" t="s">
        <v>502</v>
      </c>
      <c r="D149" s="157"/>
      <c r="E149" s="157"/>
      <c r="F149" s="157"/>
      <c r="G149" s="158" t="s">
        <v>507</v>
      </c>
    </row>
    <row r="150" spans="1:7" ht="26" x14ac:dyDescent="0.35">
      <c r="A150" s="195" t="s">
        <v>261</v>
      </c>
      <c r="B150" s="200" t="s">
        <v>508</v>
      </c>
      <c r="C150" s="200" t="s">
        <v>502</v>
      </c>
      <c r="D150" s="200"/>
      <c r="E150" s="200"/>
      <c r="F150" s="200"/>
      <c r="G150" s="201" t="s">
        <v>509</v>
      </c>
    </row>
    <row r="151" spans="1:7" ht="31.5" customHeight="1" x14ac:dyDescent="0.35">
      <c r="A151" s="195" t="s">
        <v>261</v>
      </c>
      <c r="B151" s="196" t="s">
        <v>510</v>
      </c>
      <c r="C151" s="206" t="s">
        <v>496</v>
      </c>
      <c r="D151" s="196"/>
      <c r="E151" s="196"/>
      <c r="F151" s="196"/>
      <c r="G151" s="197" t="s">
        <v>511</v>
      </c>
    </row>
    <row r="152" spans="1:7" x14ac:dyDescent="0.35">
      <c r="A152" s="308" t="s">
        <v>512</v>
      </c>
      <c r="B152" s="309"/>
      <c r="C152" s="309"/>
      <c r="D152" s="309"/>
      <c r="E152" s="309"/>
      <c r="F152" s="309"/>
      <c r="G152" s="310"/>
    </row>
    <row r="153" spans="1:7" ht="39" x14ac:dyDescent="0.35">
      <c r="A153" s="156" t="s">
        <v>227</v>
      </c>
      <c r="B153" s="157" t="s">
        <v>232</v>
      </c>
      <c r="C153" s="206" t="s">
        <v>513</v>
      </c>
      <c r="D153" s="157"/>
      <c r="E153" s="157"/>
      <c r="F153" s="157"/>
      <c r="G153" s="158" t="s">
        <v>514</v>
      </c>
    </row>
    <row r="154" spans="1:7" ht="52" x14ac:dyDescent="0.35">
      <c r="A154" s="156" t="s">
        <v>360</v>
      </c>
      <c r="B154" s="157" t="s">
        <v>515</v>
      </c>
      <c r="C154" s="206" t="s">
        <v>516</v>
      </c>
      <c r="D154" s="157"/>
      <c r="E154" s="157"/>
      <c r="F154" s="157"/>
      <c r="G154" s="158" t="s">
        <v>517</v>
      </c>
    </row>
    <row r="155" spans="1:7" ht="52" x14ac:dyDescent="0.35">
      <c r="A155" s="156" t="s">
        <v>383</v>
      </c>
      <c r="B155" s="157" t="s">
        <v>518</v>
      </c>
      <c r="C155" s="206" t="s">
        <v>519</v>
      </c>
      <c r="D155" s="157"/>
      <c r="E155" s="157"/>
      <c r="F155" s="157"/>
      <c r="G155" s="158" t="s">
        <v>520</v>
      </c>
    </row>
    <row r="156" spans="1:7" ht="52" x14ac:dyDescent="0.35">
      <c r="A156" s="156" t="s">
        <v>521</v>
      </c>
      <c r="B156" s="157" t="s">
        <v>522</v>
      </c>
      <c r="C156" s="206" t="s">
        <v>523</v>
      </c>
      <c r="D156" s="157"/>
      <c r="E156" s="157"/>
      <c r="F156" s="157"/>
      <c r="G156" s="158" t="s">
        <v>524</v>
      </c>
    </row>
    <row r="157" spans="1:7" ht="52" x14ac:dyDescent="0.35">
      <c r="A157" s="156" t="s">
        <v>521</v>
      </c>
      <c r="B157" s="157" t="s">
        <v>525</v>
      </c>
      <c r="C157" s="206" t="s">
        <v>526</v>
      </c>
      <c r="D157" s="157"/>
      <c r="E157" s="157"/>
      <c r="F157" s="157"/>
      <c r="G157" s="158" t="s">
        <v>527</v>
      </c>
    </row>
    <row r="158" spans="1:7" ht="52" x14ac:dyDescent="0.35">
      <c r="A158" s="156" t="s">
        <v>528</v>
      </c>
      <c r="B158" s="157" t="s">
        <v>529</v>
      </c>
      <c r="C158" s="206" t="s">
        <v>530</v>
      </c>
      <c r="D158" s="157"/>
      <c r="E158" s="157"/>
      <c r="F158" s="157"/>
      <c r="G158" s="158" t="s">
        <v>531</v>
      </c>
    </row>
    <row r="159" spans="1:7" ht="52" x14ac:dyDescent="0.35">
      <c r="A159" s="195" t="s">
        <v>261</v>
      </c>
      <c r="B159" s="157" t="s">
        <v>532</v>
      </c>
      <c r="C159" s="206" t="s">
        <v>533</v>
      </c>
      <c r="D159" s="157"/>
      <c r="E159" s="157"/>
      <c r="F159" s="157"/>
      <c r="G159" s="158" t="s">
        <v>534</v>
      </c>
    </row>
    <row r="160" spans="1:7" x14ac:dyDescent="0.35">
      <c r="A160" s="308" t="s">
        <v>535</v>
      </c>
      <c r="B160" s="309"/>
      <c r="C160" s="309"/>
      <c r="D160" s="309"/>
      <c r="E160" s="309"/>
      <c r="F160" s="309"/>
      <c r="G160" s="310"/>
    </row>
    <row r="161" spans="1:14" ht="39" x14ac:dyDescent="0.35">
      <c r="A161" s="156" t="s">
        <v>227</v>
      </c>
      <c r="B161" s="157" t="s">
        <v>232</v>
      </c>
      <c r="C161" s="206" t="s">
        <v>536</v>
      </c>
      <c r="D161" s="157"/>
      <c r="E161" s="157"/>
      <c r="F161" s="157"/>
      <c r="G161" s="158" t="s">
        <v>537</v>
      </c>
    </row>
    <row r="162" spans="1:14" ht="52" x14ac:dyDescent="0.35">
      <c r="A162" s="156" t="s">
        <v>404</v>
      </c>
      <c r="B162" s="157" t="s">
        <v>405</v>
      </c>
      <c r="C162" s="206" t="s">
        <v>538</v>
      </c>
      <c r="D162" s="157"/>
      <c r="E162" s="157"/>
      <c r="F162" s="157"/>
      <c r="G162" s="158" t="s">
        <v>407</v>
      </c>
    </row>
    <row r="163" spans="1:14" ht="26" x14ac:dyDescent="0.35">
      <c r="A163" s="156" t="s">
        <v>539</v>
      </c>
      <c r="B163" s="157" t="s">
        <v>540</v>
      </c>
      <c r="C163" s="206" t="s">
        <v>541</v>
      </c>
      <c r="D163" s="157"/>
      <c r="E163" s="157"/>
      <c r="F163" s="157"/>
      <c r="G163" s="158" t="s">
        <v>542</v>
      </c>
    </row>
    <row r="164" spans="1:14" ht="26" x14ac:dyDescent="0.35">
      <c r="A164" s="156" t="s">
        <v>539</v>
      </c>
      <c r="B164" s="157" t="s">
        <v>543</v>
      </c>
      <c r="C164" s="206" t="s">
        <v>541</v>
      </c>
      <c r="D164" s="157"/>
      <c r="E164" s="157"/>
      <c r="F164" s="157"/>
      <c r="G164" s="158" t="s">
        <v>544</v>
      </c>
    </row>
    <row r="165" spans="1:14" ht="26" x14ac:dyDescent="0.35">
      <c r="A165" s="203" t="s">
        <v>539</v>
      </c>
      <c r="B165" s="200" t="s">
        <v>545</v>
      </c>
      <c r="C165" s="200" t="s">
        <v>541</v>
      </c>
      <c r="D165" s="200"/>
      <c r="E165" s="200"/>
      <c r="F165" s="200"/>
      <c r="G165" s="201" t="s">
        <v>546</v>
      </c>
    </row>
    <row r="166" spans="1:14" ht="52" x14ac:dyDescent="0.35">
      <c r="A166" s="195" t="s">
        <v>261</v>
      </c>
      <c r="B166" s="225" t="s">
        <v>547</v>
      </c>
      <c r="C166" s="3" t="s">
        <v>548</v>
      </c>
      <c r="D166"/>
      <c r="E166" s="225"/>
      <c r="F166" s="225"/>
      <c r="G166" s="189" t="s">
        <v>549</v>
      </c>
    </row>
    <row r="167" spans="1:14" s="23" customFormat="1" ht="39" x14ac:dyDescent="0.35">
      <c r="A167" s="195" t="s">
        <v>261</v>
      </c>
      <c r="B167" s="191" t="s">
        <v>550</v>
      </c>
      <c r="C167" s="196" t="s">
        <v>551</v>
      </c>
      <c r="D167" s="204"/>
      <c r="E167" s="204"/>
      <c r="F167" s="204"/>
      <c r="G167" s="194" t="s">
        <v>552</v>
      </c>
      <c r="H167" s="22"/>
      <c r="I167" s="22"/>
      <c r="J167" s="22"/>
      <c r="K167" s="22"/>
      <c r="L167" s="22"/>
      <c r="M167" s="184"/>
      <c r="N167" s="184"/>
    </row>
    <row r="168" spans="1:14" ht="26" x14ac:dyDescent="0.35">
      <c r="A168" s="156" t="s">
        <v>553</v>
      </c>
      <c r="B168" s="157" t="s">
        <v>554</v>
      </c>
      <c r="C168" s="206" t="s">
        <v>541</v>
      </c>
      <c r="D168" s="157"/>
      <c r="E168" s="157"/>
      <c r="F168" s="157"/>
      <c r="G168" s="158" t="s">
        <v>555</v>
      </c>
    </row>
    <row r="169" spans="1:14" ht="26" x14ac:dyDescent="0.35">
      <c r="A169" s="203" t="s">
        <v>556</v>
      </c>
      <c r="B169" s="200" t="s">
        <v>557</v>
      </c>
      <c r="C169" s="200" t="s">
        <v>541</v>
      </c>
      <c r="D169" s="200"/>
      <c r="E169" s="200"/>
      <c r="F169" s="200"/>
      <c r="G169" s="201"/>
    </row>
    <row r="170" spans="1:14" ht="26" x14ac:dyDescent="0.35">
      <c r="A170" s="226" t="s">
        <v>556</v>
      </c>
      <c r="B170" s="29" t="s">
        <v>558</v>
      </c>
      <c r="C170" s="29" t="s">
        <v>559</v>
      </c>
      <c r="D170" s="29"/>
      <c r="E170" s="29"/>
      <c r="F170" s="29"/>
      <c r="G170" s="183"/>
    </row>
    <row r="171" spans="1:14" x14ac:dyDescent="0.35">
      <c r="A171" s="308" t="s">
        <v>560</v>
      </c>
      <c r="B171" s="309"/>
      <c r="C171" s="309"/>
      <c r="D171" s="309"/>
      <c r="E171" s="309"/>
      <c r="F171" s="309"/>
      <c r="G171" s="310"/>
    </row>
    <row r="172" spans="1:14" ht="26" x14ac:dyDescent="0.35">
      <c r="A172" s="156" t="s">
        <v>227</v>
      </c>
      <c r="B172" s="157" t="s">
        <v>232</v>
      </c>
      <c r="C172" s="186" t="s">
        <v>561</v>
      </c>
      <c r="D172" s="157"/>
      <c r="E172" s="157"/>
      <c r="F172" s="157"/>
      <c r="G172" s="158" t="s">
        <v>562</v>
      </c>
    </row>
    <row r="173" spans="1:14" ht="26" x14ac:dyDescent="0.35">
      <c r="A173" s="156" t="s">
        <v>360</v>
      </c>
      <c r="B173" s="157" t="s">
        <v>563</v>
      </c>
      <c r="C173" s="186" t="s">
        <v>564</v>
      </c>
      <c r="D173" s="157"/>
      <c r="E173" s="157"/>
      <c r="F173" s="157"/>
      <c r="G173" s="158" t="s">
        <v>565</v>
      </c>
    </row>
    <row r="174" spans="1:14" ht="26" x14ac:dyDescent="0.35">
      <c r="A174" s="156" t="s">
        <v>566</v>
      </c>
      <c r="B174" s="157" t="s">
        <v>567</v>
      </c>
      <c r="C174" s="186" t="s">
        <v>568</v>
      </c>
      <c r="D174" s="157"/>
      <c r="E174" s="157"/>
      <c r="F174" s="157"/>
      <c r="G174" s="158" t="s">
        <v>569</v>
      </c>
    </row>
    <row r="175" spans="1:14" ht="26" x14ac:dyDescent="0.35">
      <c r="A175" s="156" t="s">
        <v>566</v>
      </c>
      <c r="B175" s="157" t="s">
        <v>570</v>
      </c>
      <c r="C175" s="186" t="s">
        <v>561</v>
      </c>
      <c r="D175" s="157"/>
      <c r="E175" s="157"/>
      <c r="F175" s="157"/>
      <c r="G175" s="158" t="s">
        <v>571</v>
      </c>
    </row>
    <row r="176" spans="1:14" ht="26" x14ac:dyDescent="0.35">
      <c r="A176" s="156" t="s">
        <v>566</v>
      </c>
      <c r="B176" s="157" t="s">
        <v>572</v>
      </c>
      <c r="C176" s="186" t="s">
        <v>573</v>
      </c>
      <c r="D176" s="157"/>
      <c r="E176" s="157"/>
      <c r="F176" s="157"/>
      <c r="G176" s="158" t="s">
        <v>574</v>
      </c>
    </row>
    <row r="177" spans="1:7" ht="26" x14ac:dyDescent="0.35">
      <c r="A177" s="156" t="s">
        <v>566</v>
      </c>
      <c r="B177" s="157" t="s">
        <v>575</v>
      </c>
      <c r="C177" s="186" t="s">
        <v>576</v>
      </c>
      <c r="D177" s="157"/>
      <c r="E177" s="157"/>
      <c r="F177" s="157"/>
      <c r="G177" s="158" t="s">
        <v>577</v>
      </c>
    </row>
    <row r="178" spans="1:7" x14ac:dyDescent="0.35">
      <c r="A178" s="308" t="s">
        <v>578</v>
      </c>
      <c r="B178" s="309"/>
      <c r="C178" s="309"/>
      <c r="D178" s="309"/>
      <c r="E178" s="309"/>
      <c r="F178" s="309"/>
      <c r="G178" s="310"/>
    </row>
    <row r="179" spans="1:7" ht="39" x14ac:dyDescent="0.35">
      <c r="A179" s="156" t="s">
        <v>227</v>
      </c>
      <c r="B179" s="157" t="s">
        <v>232</v>
      </c>
      <c r="C179" s="206" t="s">
        <v>579</v>
      </c>
      <c r="D179" s="157"/>
      <c r="E179" s="157"/>
      <c r="F179" s="157"/>
      <c r="G179" s="158" t="s">
        <v>580</v>
      </c>
    </row>
    <row r="180" spans="1:7" ht="26" x14ac:dyDescent="0.35">
      <c r="A180" s="156" t="s">
        <v>581</v>
      </c>
      <c r="B180" s="157" t="s">
        <v>582</v>
      </c>
      <c r="C180" s="206" t="s">
        <v>583</v>
      </c>
      <c r="D180" s="157"/>
      <c r="E180" s="157"/>
      <c r="F180" s="157"/>
      <c r="G180" s="158" t="s">
        <v>584</v>
      </c>
    </row>
    <row r="181" spans="1:7" ht="26" x14ac:dyDescent="0.35">
      <c r="A181" s="156" t="s">
        <v>581</v>
      </c>
      <c r="B181" s="157" t="s">
        <v>585</v>
      </c>
      <c r="C181" s="206" t="s">
        <v>583</v>
      </c>
      <c r="D181" s="157"/>
      <c r="E181" s="157"/>
      <c r="F181" s="157"/>
      <c r="G181" s="158" t="s">
        <v>586</v>
      </c>
    </row>
    <row r="182" spans="1:7" ht="26" x14ac:dyDescent="0.35">
      <c r="A182" s="156" t="s">
        <v>418</v>
      </c>
      <c r="B182" s="157" t="s">
        <v>419</v>
      </c>
      <c r="C182" s="206" t="s">
        <v>587</v>
      </c>
      <c r="D182" s="157"/>
      <c r="E182" s="157"/>
      <c r="F182" s="157"/>
      <c r="G182" s="158" t="s">
        <v>420</v>
      </c>
    </row>
    <row r="183" spans="1:7" ht="26" x14ac:dyDescent="0.35">
      <c r="A183" s="156" t="s">
        <v>421</v>
      </c>
      <c r="B183" s="157" t="s">
        <v>422</v>
      </c>
      <c r="C183" s="206" t="s">
        <v>583</v>
      </c>
      <c r="D183" s="157"/>
      <c r="E183" s="157"/>
      <c r="F183" s="157"/>
      <c r="G183" s="158" t="s">
        <v>423</v>
      </c>
    </row>
    <row r="184" spans="1:7" ht="26" x14ac:dyDescent="0.35">
      <c r="A184" s="156" t="s">
        <v>415</v>
      </c>
      <c r="B184" s="157" t="s">
        <v>416</v>
      </c>
      <c r="C184" s="206" t="s">
        <v>583</v>
      </c>
      <c r="D184" s="157"/>
      <c r="E184" s="157"/>
      <c r="F184" s="157"/>
      <c r="G184" s="158" t="s">
        <v>417</v>
      </c>
    </row>
    <row r="185" spans="1:7" ht="26" x14ac:dyDescent="0.35">
      <c r="A185" s="156" t="s">
        <v>415</v>
      </c>
      <c r="B185" s="157" t="s">
        <v>416</v>
      </c>
      <c r="C185" s="206" t="s">
        <v>588</v>
      </c>
      <c r="D185" s="157"/>
      <c r="E185" s="157"/>
      <c r="F185" s="157"/>
      <c r="G185" s="158" t="s">
        <v>417</v>
      </c>
    </row>
    <row r="186" spans="1:7" x14ac:dyDescent="0.35">
      <c r="A186" s="308" t="s">
        <v>589</v>
      </c>
      <c r="B186" s="309"/>
      <c r="C186" s="309"/>
      <c r="D186" s="309"/>
      <c r="E186" s="309"/>
      <c r="F186" s="309"/>
      <c r="G186" s="310"/>
    </row>
    <row r="187" spans="1:7" ht="26" x14ac:dyDescent="0.35">
      <c r="A187" s="156" t="s">
        <v>227</v>
      </c>
      <c r="B187" s="157" t="s">
        <v>232</v>
      </c>
      <c r="C187" s="206" t="s">
        <v>590</v>
      </c>
      <c r="D187" s="157"/>
      <c r="E187" s="157"/>
      <c r="F187" s="157"/>
      <c r="G187" s="158" t="s">
        <v>591</v>
      </c>
    </row>
    <row r="188" spans="1:7" ht="26" x14ac:dyDescent="0.35">
      <c r="A188" s="156" t="s">
        <v>592</v>
      </c>
      <c r="B188" s="157" t="s">
        <v>593</v>
      </c>
      <c r="C188" s="206" t="s">
        <v>594</v>
      </c>
      <c r="D188" s="157"/>
      <c r="E188" s="157"/>
      <c r="F188" s="157"/>
      <c r="G188" s="158" t="s">
        <v>595</v>
      </c>
    </row>
    <row r="189" spans="1:7" ht="26" x14ac:dyDescent="0.35">
      <c r="A189" s="195" t="s">
        <v>261</v>
      </c>
      <c r="B189" s="157" t="s">
        <v>596</v>
      </c>
      <c r="C189" s="206" t="s">
        <v>594</v>
      </c>
      <c r="D189" s="157"/>
      <c r="E189" s="157"/>
      <c r="F189" s="157"/>
      <c r="G189" s="158" t="s">
        <v>597</v>
      </c>
    </row>
    <row r="190" spans="1:7" ht="26" x14ac:dyDescent="0.35">
      <c r="A190" s="195" t="s">
        <v>261</v>
      </c>
      <c r="B190" s="157" t="s">
        <v>598</v>
      </c>
      <c r="C190" s="206" t="s">
        <v>599</v>
      </c>
      <c r="D190" s="157"/>
      <c r="E190" s="157"/>
      <c r="F190" s="157"/>
      <c r="G190" s="158" t="s">
        <v>600</v>
      </c>
    </row>
    <row r="191" spans="1:7" ht="26" x14ac:dyDescent="0.35">
      <c r="A191" s="202" t="s">
        <v>487</v>
      </c>
      <c r="B191" s="160" t="s">
        <v>601</v>
      </c>
      <c r="C191" s="200" t="s">
        <v>594</v>
      </c>
      <c r="D191" s="160"/>
      <c r="E191" s="160"/>
      <c r="F191" s="160"/>
      <c r="G191" s="161"/>
    </row>
    <row r="193" spans="1:2" x14ac:dyDescent="0.35">
      <c r="A193" s="317" t="s">
        <v>602</v>
      </c>
      <c r="B193" s="318"/>
    </row>
    <row r="194" spans="1:2" x14ac:dyDescent="0.35">
      <c r="A194" s="175" t="s">
        <v>603</v>
      </c>
      <c r="B194" s="176" t="s">
        <v>166</v>
      </c>
    </row>
    <row r="195" spans="1:2" x14ac:dyDescent="0.35">
      <c r="A195" s="177" t="s">
        <v>604</v>
      </c>
      <c r="B195" s="178"/>
    </row>
    <row r="196" spans="1:2" x14ac:dyDescent="0.35">
      <c r="A196" s="174"/>
      <c r="B196" s="208" t="s">
        <v>46</v>
      </c>
    </row>
  </sheetData>
  <mergeCells count="17">
    <mergeCell ref="A193:B193"/>
    <mergeCell ref="A56:G56"/>
    <mergeCell ref="A66:G66"/>
    <mergeCell ref="A144:G144"/>
    <mergeCell ref="A84:G84"/>
    <mergeCell ref="A100:G100"/>
    <mergeCell ref="A118:G118"/>
    <mergeCell ref="A133:G133"/>
    <mergeCell ref="A152:G152"/>
    <mergeCell ref="A160:G160"/>
    <mergeCell ref="A171:G171"/>
    <mergeCell ref="A178:G178"/>
    <mergeCell ref="A186:G186"/>
    <mergeCell ref="D7:F7"/>
    <mergeCell ref="A10:A39"/>
    <mergeCell ref="A44:G44"/>
    <mergeCell ref="B3:G3"/>
  </mergeCells>
  <phoneticPr fontId="14" type="noConversion"/>
  <hyperlinks>
    <hyperlink ref="G1" location="Tab_Menu" display=" Back to Menu" xr:uid="{BFF3C127-0610-4F29-BED4-BD88A1A196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256B8-8638-4777-8C88-374ED7B6240C}">
  <dimension ref="A1:N86"/>
  <sheetViews>
    <sheetView showGridLines="0" zoomScaleNormal="100" workbookViewId="0">
      <pane xSplit="2" ySplit="7" topLeftCell="C8" activePane="bottomRight" state="frozen"/>
      <selection pane="topRight" activeCell="A77" sqref="A77:A83"/>
      <selection pane="bottomLeft" activeCell="A77" sqref="A77:A83"/>
      <selection pane="bottomRight" activeCell="C35" sqref="C35:F35"/>
    </sheetView>
  </sheetViews>
  <sheetFormatPr defaultRowHeight="14.5" x14ac:dyDescent="0.35"/>
  <cols>
    <col min="1" max="1" width="25.1796875" style="5" customWidth="1"/>
    <col min="2" max="2" width="4" style="5" customWidth="1"/>
    <col min="3" max="3" width="48.54296875" style="3" customWidth="1"/>
    <col min="4" max="4" width="50.26953125" style="3" customWidth="1"/>
    <col min="5" max="5" width="58" style="3" customWidth="1"/>
    <col min="6" max="6" width="72.1796875" style="3" customWidth="1"/>
    <col min="7" max="12" width="9.1796875" style="3"/>
    <col min="13" max="14" width="9.1796875" style="1"/>
  </cols>
  <sheetData>
    <row r="1" spans="1:14" ht="18.5" x14ac:dyDescent="0.35">
      <c r="A1" s="10" t="s">
        <v>151</v>
      </c>
      <c r="C1" s="320" t="s">
        <v>605</v>
      </c>
      <c r="D1" s="320"/>
      <c r="E1" s="320"/>
      <c r="F1" s="232" t="s">
        <v>153</v>
      </c>
    </row>
    <row r="3" spans="1:14" x14ac:dyDescent="0.35">
      <c r="C3" s="235" t="s">
        <v>606</v>
      </c>
    </row>
    <row r="4" spans="1:14" s="2" customFormat="1" ht="13" x14ac:dyDescent="0.3">
      <c r="A4" s="5"/>
      <c r="B4" s="5"/>
      <c r="C4" s="214" t="s">
        <v>65</v>
      </c>
      <c r="D4" s="3"/>
      <c r="E4" s="3"/>
      <c r="F4" s="3"/>
      <c r="G4" s="3"/>
      <c r="H4" s="3"/>
      <c r="I4" s="3"/>
      <c r="J4" s="3"/>
      <c r="K4" s="3"/>
      <c r="L4" s="3"/>
      <c r="M4" s="3"/>
      <c r="N4" s="3"/>
    </row>
    <row r="5" spans="1:14" s="2" customFormat="1" ht="13" x14ac:dyDescent="0.3">
      <c r="A5" s="5"/>
      <c r="B5" s="5"/>
      <c r="C5" s="214" t="s">
        <v>67</v>
      </c>
      <c r="D5" s="3"/>
      <c r="E5" s="3"/>
      <c r="F5" s="3"/>
      <c r="G5" s="3"/>
      <c r="H5" s="3"/>
      <c r="I5" s="3"/>
      <c r="J5" s="3"/>
      <c r="K5" s="3"/>
      <c r="L5" s="3"/>
      <c r="M5" s="3"/>
      <c r="N5" s="3"/>
    </row>
    <row r="8" spans="1:14" ht="15.75" customHeight="1" x14ac:dyDescent="0.35">
      <c r="A8" s="321" t="s">
        <v>607</v>
      </c>
      <c r="C8" s="3" t="s">
        <v>65</v>
      </c>
      <c r="D8" s="3" t="s">
        <v>608</v>
      </c>
      <c r="E8" s="3" t="s">
        <v>609</v>
      </c>
      <c r="F8" s="3" t="s">
        <v>610</v>
      </c>
      <c r="L8" s="1"/>
      <c r="N8"/>
    </row>
    <row r="9" spans="1:14" x14ac:dyDescent="0.35">
      <c r="A9" s="321"/>
      <c r="C9" s="31" t="s">
        <v>611</v>
      </c>
      <c r="D9" s="31"/>
      <c r="E9" s="31"/>
      <c r="F9" s="31"/>
      <c r="L9" s="1"/>
      <c r="N9"/>
    </row>
    <row r="10" spans="1:14" ht="39" x14ac:dyDescent="0.35">
      <c r="A10" s="321"/>
      <c r="C10" s="100" t="s">
        <v>612</v>
      </c>
      <c r="D10" s="3" t="s">
        <v>613</v>
      </c>
      <c r="E10" s="3" t="s">
        <v>614</v>
      </c>
      <c r="F10" s="3" t="s">
        <v>615</v>
      </c>
      <c r="L10" s="1"/>
      <c r="N10"/>
    </row>
    <row r="11" spans="1:14" x14ac:dyDescent="0.35">
      <c r="A11" s="321"/>
      <c r="C11" s="3" t="s">
        <v>616</v>
      </c>
      <c r="D11" s="3">
        <v>215</v>
      </c>
      <c r="E11" s="3">
        <v>823</v>
      </c>
      <c r="F11" s="3">
        <v>624</v>
      </c>
      <c r="L11" s="1"/>
      <c r="N11"/>
    </row>
    <row r="12" spans="1:14" ht="26" x14ac:dyDescent="0.35">
      <c r="A12" s="321"/>
      <c r="C12" s="3" t="s">
        <v>617</v>
      </c>
      <c r="D12" s="3" t="s">
        <v>618</v>
      </c>
      <c r="E12" s="3" t="s">
        <v>618</v>
      </c>
      <c r="F12" s="3" t="s">
        <v>618</v>
      </c>
      <c r="L12" s="1"/>
      <c r="N12"/>
    </row>
    <row r="13" spans="1:14" x14ac:dyDescent="0.35">
      <c r="A13" s="321"/>
      <c r="C13" s="31" t="s">
        <v>619</v>
      </c>
      <c r="D13" s="31"/>
      <c r="E13" s="31"/>
      <c r="F13" s="31"/>
      <c r="L13" s="1"/>
      <c r="N13"/>
    </row>
    <row r="14" spans="1:14" x14ac:dyDescent="0.35">
      <c r="A14" s="321"/>
      <c r="C14" s="3" t="s">
        <v>620</v>
      </c>
      <c r="D14" s="3" t="s">
        <v>621</v>
      </c>
      <c r="E14" s="3" t="s">
        <v>622</v>
      </c>
      <c r="F14" s="3" t="s">
        <v>623</v>
      </c>
      <c r="L14" s="1"/>
      <c r="N14"/>
    </row>
    <row r="15" spans="1:14" x14ac:dyDescent="0.35">
      <c r="A15" s="321"/>
      <c r="C15" s="3" t="s">
        <v>624</v>
      </c>
      <c r="D15" s="3" t="s">
        <v>625</v>
      </c>
      <c r="E15" s="3" t="s">
        <v>625</v>
      </c>
      <c r="F15" s="3" t="s">
        <v>626</v>
      </c>
      <c r="L15" s="1"/>
      <c r="N15"/>
    </row>
    <row r="16" spans="1:14" x14ac:dyDescent="0.35">
      <c r="A16" s="321"/>
      <c r="C16" s="31" t="s">
        <v>627</v>
      </c>
      <c r="D16" s="31"/>
      <c r="E16" s="31"/>
      <c r="F16" s="31"/>
      <c r="L16" s="1"/>
      <c r="N16"/>
    </row>
    <row r="17" spans="1:14" s="34" customFormat="1" x14ac:dyDescent="0.35">
      <c r="A17" s="321"/>
      <c r="B17" s="5"/>
      <c r="C17" s="10" t="s">
        <v>628</v>
      </c>
      <c r="D17" s="10"/>
      <c r="E17" s="10"/>
      <c r="F17" s="10"/>
      <c r="G17" s="10"/>
      <c r="H17" s="10"/>
      <c r="I17" s="10"/>
      <c r="J17" s="10"/>
      <c r="K17" s="10"/>
      <c r="L17" s="33"/>
      <c r="M17" s="33"/>
    </row>
    <row r="18" spans="1:14" x14ac:dyDescent="0.35">
      <c r="A18" s="321"/>
      <c r="C18" s="41" t="s">
        <v>629</v>
      </c>
      <c r="L18" s="1"/>
      <c r="N18"/>
    </row>
    <row r="19" spans="1:14" x14ac:dyDescent="0.35">
      <c r="A19" s="321"/>
      <c r="C19" s="101" t="s">
        <v>630</v>
      </c>
      <c r="D19" s="99">
        <v>215</v>
      </c>
      <c r="E19" s="99">
        <v>823</v>
      </c>
      <c r="F19" s="99">
        <v>623.6</v>
      </c>
      <c r="L19" s="1"/>
      <c r="N19"/>
    </row>
    <row r="20" spans="1:14" x14ac:dyDescent="0.35">
      <c r="A20" s="321"/>
      <c r="C20" s="101" t="s">
        <v>631</v>
      </c>
      <c r="D20" s="3">
        <v>2009</v>
      </c>
      <c r="E20" s="3">
        <v>2005</v>
      </c>
      <c r="F20" s="3">
        <v>2024</v>
      </c>
      <c r="L20" s="1"/>
      <c r="N20"/>
    </row>
    <row r="21" spans="1:14" x14ac:dyDescent="0.35">
      <c r="A21" s="321"/>
      <c r="C21" s="101" t="s">
        <v>632</v>
      </c>
      <c r="D21" s="3" t="s">
        <v>633</v>
      </c>
      <c r="E21" s="3" t="s">
        <v>634</v>
      </c>
      <c r="F21" s="3" t="s">
        <v>635</v>
      </c>
      <c r="L21" s="1"/>
      <c r="N21"/>
    </row>
    <row r="22" spans="1:14" x14ac:dyDescent="0.35">
      <c r="A22" s="321"/>
      <c r="C22" s="101" t="s">
        <v>636</v>
      </c>
      <c r="D22" s="3" t="s">
        <v>637</v>
      </c>
      <c r="E22" s="3" t="s">
        <v>638</v>
      </c>
      <c r="F22" s="3" t="s">
        <v>635</v>
      </c>
      <c r="L22" s="1"/>
      <c r="N22"/>
    </row>
    <row r="23" spans="1:14" ht="26" x14ac:dyDescent="0.35">
      <c r="A23" s="321"/>
      <c r="C23" s="41" t="s">
        <v>639</v>
      </c>
      <c r="L23" s="1"/>
      <c r="N23"/>
    </row>
    <row r="24" spans="1:14" x14ac:dyDescent="0.35">
      <c r="A24" s="321"/>
      <c r="C24" s="101" t="s">
        <v>630</v>
      </c>
      <c r="D24" s="3" t="s">
        <v>340</v>
      </c>
      <c r="E24" s="3" t="s">
        <v>340</v>
      </c>
      <c r="F24" s="3">
        <v>0</v>
      </c>
      <c r="L24" s="1"/>
      <c r="N24"/>
    </row>
    <row r="25" spans="1:14" ht="26" x14ac:dyDescent="0.35">
      <c r="A25" s="321"/>
      <c r="C25" s="101" t="s">
        <v>632</v>
      </c>
      <c r="D25" s="3" t="s">
        <v>640</v>
      </c>
      <c r="E25" s="3" t="s">
        <v>641</v>
      </c>
      <c r="F25" s="3" t="s">
        <v>635</v>
      </c>
      <c r="L25" s="1"/>
      <c r="N25"/>
    </row>
    <row r="26" spans="1:14" x14ac:dyDescent="0.35">
      <c r="A26" s="321"/>
      <c r="C26" s="101" t="s">
        <v>636</v>
      </c>
      <c r="D26" s="3" t="s">
        <v>642</v>
      </c>
      <c r="E26" s="3" t="s">
        <v>643</v>
      </c>
      <c r="F26" s="3" t="s">
        <v>635</v>
      </c>
      <c r="L26" s="1"/>
      <c r="N26"/>
    </row>
    <row r="27" spans="1:14" s="34" customFormat="1" x14ac:dyDescent="0.35">
      <c r="A27" s="321"/>
      <c r="B27" s="5"/>
      <c r="C27" s="10" t="s">
        <v>644</v>
      </c>
      <c r="D27" s="10"/>
      <c r="E27" s="10"/>
      <c r="F27" s="10"/>
      <c r="G27" s="10"/>
      <c r="H27" s="10"/>
      <c r="I27" s="10"/>
      <c r="J27" s="10"/>
      <c r="K27" s="10"/>
      <c r="L27" s="33"/>
      <c r="M27" s="33"/>
    </row>
    <row r="28" spans="1:14" x14ac:dyDescent="0.35">
      <c r="A28" s="321"/>
      <c r="C28" s="41" t="s">
        <v>645</v>
      </c>
      <c r="D28" s="3" t="s">
        <v>646</v>
      </c>
      <c r="E28" s="3" t="s">
        <v>647</v>
      </c>
      <c r="F28" s="3" t="s">
        <v>648</v>
      </c>
      <c r="L28" s="1"/>
      <c r="N28"/>
    </row>
    <row r="29" spans="1:14" x14ac:dyDescent="0.35">
      <c r="A29" s="321"/>
      <c r="C29" s="41" t="s">
        <v>649</v>
      </c>
      <c r="D29" s="3" t="s">
        <v>646</v>
      </c>
      <c r="E29" s="3" t="s">
        <v>650</v>
      </c>
      <c r="F29" s="3" t="s">
        <v>651</v>
      </c>
      <c r="L29" s="1"/>
      <c r="N29"/>
    </row>
    <row r="30" spans="1:14" x14ac:dyDescent="0.35">
      <c r="A30" s="321"/>
      <c r="C30" s="31" t="s">
        <v>652</v>
      </c>
      <c r="D30" s="31"/>
      <c r="E30" s="31"/>
      <c r="F30" s="31"/>
      <c r="L30" s="1"/>
      <c r="N30"/>
    </row>
    <row r="31" spans="1:14" x14ac:dyDescent="0.35">
      <c r="A31" s="321"/>
      <c r="C31" s="10" t="s">
        <v>653</v>
      </c>
      <c r="D31" s="3" t="s">
        <v>340</v>
      </c>
      <c r="E31" s="3" t="s">
        <v>340</v>
      </c>
      <c r="F31" s="3" t="s">
        <v>635</v>
      </c>
      <c r="L31" s="1"/>
      <c r="N31"/>
    </row>
    <row r="32" spans="1:14" x14ac:dyDescent="0.35">
      <c r="A32" s="321"/>
      <c r="C32" s="41" t="s">
        <v>616</v>
      </c>
      <c r="D32" s="3" t="s">
        <v>340</v>
      </c>
      <c r="E32" s="3" t="s">
        <v>340</v>
      </c>
      <c r="F32" s="12">
        <v>5444.6</v>
      </c>
      <c r="L32" s="1"/>
      <c r="N32"/>
    </row>
    <row r="33" spans="1:14" ht="26" x14ac:dyDescent="0.35">
      <c r="A33" s="321"/>
      <c r="C33" s="41" t="s">
        <v>654</v>
      </c>
      <c r="D33" s="3" t="s">
        <v>340</v>
      </c>
      <c r="E33" s="3" t="s">
        <v>340</v>
      </c>
      <c r="F33" s="3" t="s">
        <v>655</v>
      </c>
      <c r="L33" s="1"/>
      <c r="N33"/>
    </row>
    <row r="34" spans="1:14" ht="26" x14ac:dyDescent="0.35">
      <c r="A34" s="321"/>
      <c r="C34" s="41" t="s">
        <v>656</v>
      </c>
      <c r="D34" s="3" t="s">
        <v>340</v>
      </c>
      <c r="E34" s="3" t="s">
        <v>340</v>
      </c>
      <c r="F34" s="3" t="s">
        <v>657</v>
      </c>
      <c r="L34" s="1"/>
      <c r="N34"/>
    </row>
    <row r="35" spans="1:14" ht="28.5" customHeight="1" x14ac:dyDescent="0.35">
      <c r="A35" s="321"/>
      <c r="C35" s="319" t="s">
        <v>658</v>
      </c>
      <c r="D35" s="319"/>
      <c r="E35" s="319"/>
      <c r="F35" s="319"/>
    </row>
    <row r="36" spans="1:14" x14ac:dyDescent="0.35">
      <c r="A36" s="16"/>
      <c r="C36" s="102"/>
      <c r="D36" s="102"/>
      <c r="E36" s="102"/>
      <c r="F36" s="102"/>
    </row>
    <row r="37" spans="1:14" x14ac:dyDescent="0.35">
      <c r="A37" s="321" t="s">
        <v>659</v>
      </c>
      <c r="C37" s="3" t="s">
        <v>660</v>
      </c>
      <c r="D37" s="3" t="s">
        <v>608</v>
      </c>
      <c r="E37" s="3" t="s">
        <v>609</v>
      </c>
      <c r="F37" s="3" t="s">
        <v>610</v>
      </c>
    </row>
    <row r="38" spans="1:14" x14ac:dyDescent="0.35">
      <c r="A38" s="321"/>
      <c r="C38" s="3" t="s">
        <v>661</v>
      </c>
      <c r="D38" s="3" t="s">
        <v>662</v>
      </c>
      <c r="E38" s="3" t="s">
        <v>662</v>
      </c>
      <c r="F38" s="3" t="s">
        <v>662</v>
      </c>
    </row>
    <row r="39" spans="1:14" x14ac:dyDescent="0.35">
      <c r="A39" s="321"/>
      <c r="C39" s="3" t="s">
        <v>663</v>
      </c>
      <c r="D39" s="99" t="s">
        <v>664</v>
      </c>
      <c r="E39" s="99" t="s">
        <v>665</v>
      </c>
      <c r="F39" s="99" t="s">
        <v>664</v>
      </c>
    </row>
    <row r="40" spans="1:14" x14ac:dyDescent="0.35">
      <c r="A40" s="321"/>
      <c r="C40" s="3" t="s">
        <v>666</v>
      </c>
      <c r="D40" s="99" t="s">
        <v>662</v>
      </c>
      <c r="E40" s="99" t="s">
        <v>662</v>
      </c>
      <c r="F40" s="99" t="s">
        <v>662</v>
      </c>
    </row>
    <row r="41" spans="1:14" x14ac:dyDescent="0.35">
      <c r="A41" s="321"/>
      <c r="C41" s="3" t="s">
        <v>667</v>
      </c>
      <c r="D41" s="99">
        <v>2024</v>
      </c>
      <c r="E41" s="99">
        <v>2024</v>
      </c>
      <c r="F41" s="99">
        <v>2024</v>
      </c>
    </row>
    <row r="42" spans="1:14" x14ac:dyDescent="0.35">
      <c r="A42" s="321"/>
      <c r="C42" s="3" t="s">
        <v>668</v>
      </c>
      <c r="D42" s="99" t="s">
        <v>662</v>
      </c>
      <c r="E42" s="99" t="s">
        <v>662</v>
      </c>
      <c r="F42" s="99" t="s">
        <v>662</v>
      </c>
    </row>
    <row r="43" spans="1:14" x14ac:dyDescent="0.35">
      <c r="A43" s="321"/>
      <c r="C43" s="3" t="s">
        <v>669</v>
      </c>
      <c r="D43" s="99">
        <f>D19-67</f>
        <v>148</v>
      </c>
      <c r="E43" s="99">
        <f>E19-227</f>
        <v>596</v>
      </c>
      <c r="F43" s="99">
        <v>621.52</v>
      </c>
    </row>
    <row r="44" spans="1:14" ht="26" x14ac:dyDescent="0.35">
      <c r="A44" s="321"/>
      <c r="C44" s="3" t="s">
        <v>670</v>
      </c>
      <c r="D44" s="3" t="s">
        <v>671</v>
      </c>
      <c r="E44" s="3" t="s">
        <v>672</v>
      </c>
      <c r="F44" s="3">
        <v>2.08</v>
      </c>
    </row>
    <row r="45" spans="1:14" ht="26" x14ac:dyDescent="0.35">
      <c r="A45" s="321"/>
      <c r="C45" s="3" t="s">
        <v>673</v>
      </c>
      <c r="D45" s="3" t="s">
        <v>674</v>
      </c>
      <c r="E45" s="3" t="s">
        <v>675</v>
      </c>
      <c r="F45" s="3" t="s">
        <v>676</v>
      </c>
    </row>
    <row r="46" spans="1:14" x14ac:dyDescent="0.35">
      <c r="A46" s="321"/>
      <c r="C46" s="3" t="s">
        <v>677</v>
      </c>
      <c r="D46" s="3">
        <v>2030</v>
      </c>
      <c r="E46" s="3">
        <v>2030</v>
      </c>
      <c r="F46" s="3">
        <v>2027</v>
      </c>
    </row>
    <row r="47" spans="1:14" x14ac:dyDescent="0.35">
      <c r="A47" s="321"/>
      <c r="C47" s="3" t="s">
        <v>678</v>
      </c>
      <c r="D47" s="123" t="s">
        <v>679</v>
      </c>
      <c r="E47" s="123" t="s">
        <v>680</v>
      </c>
      <c r="F47" s="123" t="s">
        <v>681</v>
      </c>
    </row>
    <row r="48" spans="1:14" ht="26" x14ac:dyDescent="0.35">
      <c r="A48" s="321"/>
      <c r="C48" s="3" t="s">
        <v>682</v>
      </c>
      <c r="D48" s="54">
        <v>0</v>
      </c>
      <c r="E48" s="54">
        <v>0</v>
      </c>
      <c r="F48" s="54">
        <v>0</v>
      </c>
    </row>
    <row r="49" spans="1:6" ht="26" x14ac:dyDescent="0.35">
      <c r="A49" s="321"/>
      <c r="C49" s="3" t="s">
        <v>683</v>
      </c>
      <c r="D49" s="54">
        <v>0</v>
      </c>
      <c r="E49" s="54">
        <v>0</v>
      </c>
      <c r="F49" s="54">
        <v>0</v>
      </c>
    </row>
    <row r="50" spans="1:6" ht="55.5" customHeight="1" x14ac:dyDescent="0.35">
      <c r="A50" s="321"/>
      <c r="C50" s="319" t="s">
        <v>684</v>
      </c>
      <c r="D50" s="319"/>
      <c r="E50" s="319"/>
      <c r="F50" s="319"/>
    </row>
    <row r="51" spans="1:6" x14ac:dyDescent="0.35">
      <c r="A51" s="50"/>
    </row>
    <row r="52" spans="1:6" x14ac:dyDescent="0.35">
      <c r="A52" s="50"/>
    </row>
    <row r="53" spans="1:6" x14ac:dyDescent="0.35">
      <c r="A53" s="50"/>
    </row>
    <row r="54" spans="1:6" x14ac:dyDescent="0.35">
      <c r="A54" s="50"/>
    </row>
    <row r="55" spans="1:6" x14ac:dyDescent="0.35">
      <c r="A55" s="50"/>
    </row>
    <row r="56" spans="1:6" x14ac:dyDescent="0.35">
      <c r="A56" s="50"/>
    </row>
    <row r="57" spans="1:6" x14ac:dyDescent="0.35">
      <c r="A57" s="50"/>
    </row>
    <row r="58" spans="1:6" x14ac:dyDescent="0.35">
      <c r="A58" s="50"/>
    </row>
    <row r="59" spans="1:6" x14ac:dyDescent="0.35">
      <c r="A59" s="50"/>
    </row>
    <row r="60" spans="1:6" x14ac:dyDescent="0.35">
      <c r="A60" s="50"/>
    </row>
    <row r="61" spans="1:6" x14ac:dyDescent="0.35">
      <c r="A61" s="50"/>
    </row>
    <row r="62" spans="1:6" x14ac:dyDescent="0.35">
      <c r="A62" s="50"/>
    </row>
    <row r="63" spans="1:6" x14ac:dyDescent="0.35">
      <c r="A63" s="50"/>
    </row>
    <row r="64" spans="1:6" x14ac:dyDescent="0.35">
      <c r="A64" s="50"/>
    </row>
    <row r="65" spans="1:1" x14ac:dyDescent="0.35">
      <c r="A65" s="50"/>
    </row>
    <row r="66" spans="1:1" x14ac:dyDescent="0.35">
      <c r="A66" s="50"/>
    </row>
    <row r="67" spans="1:1" x14ac:dyDescent="0.35">
      <c r="A67" s="50"/>
    </row>
    <row r="68" spans="1:1" x14ac:dyDescent="0.35">
      <c r="A68" s="50"/>
    </row>
    <row r="69" spans="1:1" x14ac:dyDescent="0.35">
      <c r="A69" s="50"/>
    </row>
    <row r="70" spans="1:1" x14ac:dyDescent="0.35">
      <c r="A70" s="50"/>
    </row>
    <row r="71" spans="1:1" x14ac:dyDescent="0.35">
      <c r="A71" s="50"/>
    </row>
    <row r="72" spans="1:1" x14ac:dyDescent="0.35">
      <c r="A72" s="50"/>
    </row>
    <row r="73" spans="1:1" x14ac:dyDescent="0.35">
      <c r="A73" s="50"/>
    </row>
    <row r="74" spans="1:1" x14ac:dyDescent="0.35">
      <c r="A74" s="50"/>
    </row>
    <row r="75" spans="1:1" x14ac:dyDescent="0.35">
      <c r="A75" s="50"/>
    </row>
    <row r="76" spans="1:1" x14ac:dyDescent="0.35">
      <c r="A76" s="50"/>
    </row>
    <row r="77" spans="1:1" x14ac:dyDescent="0.35">
      <c r="A77" s="50"/>
    </row>
    <row r="78" spans="1:1" x14ac:dyDescent="0.35">
      <c r="A78" s="50"/>
    </row>
    <row r="79" spans="1:1" x14ac:dyDescent="0.35">
      <c r="A79" s="50"/>
    </row>
    <row r="80" spans="1:1" x14ac:dyDescent="0.35">
      <c r="A80" s="50"/>
    </row>
    <row r="81" spans="1:1" x14ac:dyDescent="0.35">
      <c r="A81" s="50"/>
    </row>
    <row r="82" spans="1:1" x14ac:dyDescent="0.35">
      <c r="A82" s="50"/>
    </row>
    <row r="83" spans="1:1" x14ac:dyDescent="0.35">
      <c r="A83" s="50"/>
    </row>
    <row r="84" spans="1:1" x14ac:dyDescent="0.35">
      <c r="A84" s="50"/>
    </row>
    <row r="85" spans="1:1" x14ac:dyDescent="0.35">
      <c r="A85" s="50"/>
    </row>
    <row r="86" spans="1:1" x14ac:dyDescent="0.35">
      <c r="A86" s="50"/>
    </row>
  </sheetData>
  <mergeCells count="5">
    <mergeCell ref="C35:F35"/>
    <mergeCell ref="C1:E1"/>
    <mergeCell ref="A8:A35"/>
    <mergeCell ref="C50:F50"/>
    <mergeCell ref="A37:A50"/>
  </mergeCells>
  <dataValidations count="1">
    <dataValidation type="list" allowBlank="1" showInputMessage="1" showErrorMessage="1" sqref="D10:E10 D12:E12" xr:uid="{56ED0A6F-6306-451D-8BE3-2EE5B304AED5}">
      <formula1>YesNo</formula1>
    </dataValidation>
  </dataValidations>
  <hyperlinks>
    <hyperlink ref="C4" location="Biodiversity_Overview" display="Biodiversity Overview" xr:uid="{055F6A80-B8C5-4E03-A30D-819B67D11A61}"/>
    <hyperlink ref="C5" location="Closure_and_Rehabilitation" display="Closure and Rehabilitation" xr:uid="{BB478A13-8814-4F67-918B-3406DC5D3566}"/>
    <hyperlink ref="F1" location="Tab_Menu" display=" Back to Menu" xr:uid="{9BD3EA52-A943-4A0F-A419-FA5E665F4B9A}"/>
  </hyperlink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7052-7711-409A-82C2-DF3316AA7A3F}">
  <dimension ref="A1:N62"/>
  <sheetViews>
    <sheetView showGridLines="0" zoomScaleNormal="100" workbookViewId="0">
      <pane xSplit="2" ySplit="9" topLeftCell="C10" activePane="bottomRight" state="frozen"/>
      <selection pane="topRight" activeCell="A77" sqref="A77:A83"/>
      <selection pane="bottomLeft" activeCell="A77" sqref="A77:A83"/>
      <selection pane="bottomRight" activeCell="O55" sqref="O55"/>
    </sheetView>
  </sheetViews>
  <sheetFormatPr defaultRowHeight="14.5" x14ac:dyDescent="0.35"/>
  <cols>
    <col min="1" max="1" width="29" style="5" customWidth="1"/>
    <col min="2" max="2" width="2.26953125" style="5" customWidth="1"/>
    <col min="3" max="3" width="55.54296875" style="3" customWidth="1"/>
    <col min="4" max="4" width="30.54296875" style="3" customWidth="1"/>
    <col min="5" max="5" width="37.7265625" style="3" customWidth="1"/>
    <col min="6" max="6" width="39.81640625" style="3" customWidth="1"/>
    <col min="7" max="7" width="38.26953125" style="3" customWidth="1"/>
    <col min="8" max="8" width="9.1796875" style="3"/>
    <col min="9" max="9" width="21.453125" style="3" bestFit="1" customWidth="1"/>
    <col min="10" max="10" width="9.1796875" style="3"/>
    <col min="11" max="11" width="11.1796875" style="3" bestFit="1" customWidth="1"/>
    <col min="12" max="12" width="9.1796875" style="3"/>
    <col min="13" max="14" width="9.1796875" style="1"/>
  </cols>
  <sheetData>
    <row r="1" spans="1:14" ht="18.5" x14ac:dyDescent="0.35">
      <c r="A1" s="10" t="s">
        <v>151</v>
      </c>
      <c r="C1" s="320" t="s">
        <v>685</v>
      </c>
      <c r="D1" s="320"/>
      <c r="E1" s="320"/>
      <c r="F1" s="320"/>
      <c r="G1" s="232" t="s">
        <v>153</v>
      </c>
    </row>
    <row r="2" spans="1:14" x14ac:dyDescent="0.35">
      <c r="A2" s="3"/>
      <c r="B2" s="7"/>
      <c r="C2" s="299" t="s">
        <v>686</v>
      </c>
      <c r="D2" s="299"/>
      <c r="E2" s="299"/>
      <c r="F2" s="299"/>
      <c r="G2" s="52"/>
    </row>
    <row r="3" spans="1:14" x14ac:dyDescent="0.35">
      <c r="A3" s="3"/>
      <c r="B3" s="7"/>
      <c r="G3" s="52"/>
    </row>
    <row r="4" spans="1:14" x14ac:dyDescent="0.35">
      <c r="C4" s="235" t="s">
        <v>606</v>
      </c>
    </row>
    <row r="5" spans="1:14" s="2" customFormat="1" ht="13" x14ac:dyDescent="0.3">
      <c r="A5" s="5"/>
      <c r="B5" s="5"/>
      <c r="C5" s="215" t="s">
        <v>687</v>
      </c>
      <c r="D5" s="3"/>
      <c r="E5" s="3"/>
      <c r="F5" s="3"/>
      <c r="G5" s="3"/>
      <c r="H5" s="3"/>
      <c r="I5" s="3"/>
      <c r="J5" s="3"/>
      <c r="K5" s="3"/>
      <c r="L5" s="3"/>
      <c r="M5" s="3"/>
      <c r="N5" s="3"/>
    </row>
    <row r="6" spans="1:14" s="2" customFormat="1" ht="13" x14ac:dyDescent="0.3">
      <c r="A6" s="5"/>
      <c r="B6" s="5"/>
      <c r="C6" s="215" t="s">
        <v>688</v>
      </c>
      <c r="D6" s="3"/>
      <c r="E6" s="3"/>
      <c r="F6" s="3"/>
      <c r="G6" s="3"/>
      <c r="H6" s="3"/>
      <c r="I6" s="3"/>
      <c r="J6" s="3"/>
      <c r="K6" s="3"/>
      <c r="L6" s="3"/>
      <c r="M6" s="3"/>
      <c r="N6" s="3"/>
    </row>
    <row r="7" spans="1:14" s="2" customFormat="1" ht="13" x14ac:dyDescent="0.3">
      <c r="A7" s="5"/>
      <c r="B7" s="5"/>
      <c r="C7" s="215" t="s">
        <v>689</v>
      </c>
      <c r="D7" s="3"/>
      <c r="E7" s="3"/>
      <c r="F7" s="3"/>
      <c r="G7" s="3"/>
      <c r="H7" s="3"/>
      <c r="I7" s="3"/>
      <c r="J7" s="3"/>
      <c r="K7" s="3"/>
      <c r="L7" s="3"/>
      <c r="M7" s="3"/>
      <c r="N7" s="3"/>
    </row>
    <row r="8" spans="1:14" s="2" customFormat="1" ht="13" x14ac:dyDescent="0.3">
      <c r="A8" s="5"/>
      <c r="B8" s="5"/>
      <c r="C8" s="215" t="s">
        <v>690</v>
      </c>
      <c r="D8" s="3"/>
      <c r="E8" s="3"/>
      <c r="F8" s="3"/>
      <c r="G8" s="3"/>
      <c r="H8" s="3"/>
      <c r="I8" s="3"/>
      <c r="J8" s="3"/>
      <c r="K8" s="3"/>
      <c r="L8" s="3"/>
      <c r="M8" s="3"/>
      <c r="N8" s="3"/>
    </row>
    <row r="10" spans="1:14" x14ac:dyDescent="0.35">
      <c r="A10" s="322" t="s">
        <v>691</v>
      </c>
      <c r="C10" s="3" t="s">
        <v>692</v>
      </c>
      <c r="D10" s="3" t="s">
        <v>608</v>
      </c>
      <c r="E10" s="3" t="s">
        <v>609</v>
      </c>
      <c r="F10" s="3" t="s">
        <v>610</v>
      </c>
      <c r="G10" s="3" t="s">
        <v>693</v>
      </c>
    </row>
    <row r="11" spans="1:14" ht="15.75" customHeight="1" x14ac:dyDescent="0.35">
      <c r="A11" s="322"/>
      <c r="C11" s="31" t="s">
        <v>694</v>
      </c>
      <c r="D11" s="36"/>
      <c r="E11" s="36"/>
      <c r="F11" s="36"/>
      <c r="G11" s="36"/>
    </row>
    <row r="12" spans="1:14" x14ac:dyDescent="0.35">
      <c r="A12" s="322"/>
      <c r="C12" s="10" t="s">
        <v>695</v>
      </c>
      <c r="D12" s="229">
        <f>SUM(D13:D14)</f>
        <v>464.61</v>
      </c>
      <c r="E12" s="229">
        <f>SUM(E13:E14)</f>
        <v>3945.95</v>
      </c>
      <c r="F12" s="229">
        <f>SUM(F13:F14)</f>
        <v>0</v>
      </c>
      <c r="G12" s="229">
        <f>SUM(G13:G14)</f>
        <v>4410.5599999999995</v>
      </c>
    </row>
    <row r="13" spans="1:14" x14ac:dyDescent="0.35">
      <c r="A13" s="322"/>
      <c r="C13" s="8" t="s">
        <v>696</v>
      </c>
      <c r="D13" s="273">
        <v>464.61</v>
      </c>
      <c r="E13" s="273">
        <v>3945.95</v>
      </c>
      <c r="F13" s="274">
        <v>0</v>
      </c>
      <c r="G13" s="230">
        <f>SUM(Table13[[#This Row],[El Limon Complex]:[Pan Mine]])</f>
        <v>4410.5599999999995</v>
      </c>
    </row>
    <row r="14" spans="1:14" x14ac:dyDescent="0.35">
      <c r="A14" s="322"/>
      <c r="C14" s="8" t="s">
        <v>697</v>
      </c>
      <c r="D14" s="230">
        <v>0</v>
      </c>
      <c r="E14" s="230">
        <v>0</v>
      </c>
      <c r="F14" s="230">
        <v>0</v>
      </c>
      <c r="G14" s="230">
        <f>SUM(Table13[[#This Row],[El Limon Complex]:[Pan Mine]])</f>
        <v>0</v>
      </c>
    </row>
    <row r="15" spans="1:14" x14ac:dyDescent="0.35">
      <c r="A15" s="322"/>
      <c r="C15" s="10" t="s">
        <v>698</v>
      </c>
      <c r="D15" s="229">
        <f>SUM(D16:D17)</f>
        <v>57.79</v>
      </c>
      <c r="E15" s="229">
        <f>SUM(E16:E17)</f>
        <v>236.54</v>
      </c>
      <c r="F15" s="229">
        <f>SUM(F16:F17)</f>
        <v>709.65804800000001</v>
      </c>
      <c r="G15" s="229">
        <f>SUM(G16:G17)</f>
        <v>1003.9880479999999</v>
      </c>
    </row>
    <row r="16" spans="1:14" x14ac:dyDescent="0.35">
      <c r="A16" s="322"/>
      <c r="C16" s="8" t="s">
        <v>696</v>
      </c>
      <c r="D16" s="230">
        <v>57.79</v>
      </c>
      <c r="E16" s="230">
        <v>236.54</v>
      </c>
      <c r="F16" s="230">
        <v>709.65804800000001</v>
      </c>
      <c r="G16" s="230">
        <f>SUM(Table13[[#This Row],[El Limon Complex]:[Pan Mine]])</f>
        <v>1003.9880479999999</v>
      </c>
    </row>
    <row r="17" spans="1:14" x14ac:dyDescent="0.35">
      <c r="A17" s="322"/>
      <c r="C17" s="8" t="s">
        <v>697</v>
      </c>
      <c r="D17" s="230">
        <v>0</v>
      </c>
      <c r="E17" s="230">
        <v>0</v>
      </c>
      <c r="F17" s="230">
        <v>0</v>
      </c>
      <c r="G17" s="230">
        <f>SUM(Table13[[#This Row],[El Limon Complex]:[Pan Mine]])</f>
        <v>0</v>
      </c>
    </row>
    <row r="18" spans="1:14" x14ac:dyDescent="0.35">
      <c r="A18" s="322"/>
      <c r="C18" s="10" t="s">
        <v>699</v>
      </c>
      <c r="D18" s="229">
        <f t="shared" ref="D18" si="0">SUM(D19:D20)</f>
        <v>0</v>
      </c>
      <c r="E18" s="229">
        <f t="shared" ref="E18" si="1">SUM(E19:E20)</f>
        <v>0</v>
      </c>
      <c r="F18" s="229">
        <f t="shared" ref="F18" si="2">SUM(F19:F20)</f>
        <v>0</v>
      </c>
      <c r="G18" s="229">
        <f t="shared" ref="G18" si="3">SUM(G19:G20)</f>
        <v>0</v>
      </c>
    </row>
    <row r="19" spans="1:14" x14ac:dyDescent="0.35">
      <c r="A19" s="322"/>
      <c r="C19" s="8" t="s">
        <v>696</v>
      </c>
      <c r="D19" s="230">
        <v>0</v>
      </c>
      <c r="E19" s="230">
        <v>0</v>
      </c>
      <c r="F19" s="230">
        <v>0</v>
      </c>
      <c r="G19" s="230">
        <f>SUM(Table13[[#This Row],[El Limon Complex]:[Pan Mine]])</f>
        <v>0</v>
      </c>
    </row>
    <row r="20" spans="1:14" x14ac:dyDescent="0.35">
      <c r="A20" s="322"/>
      <c r="C20" s="8" t="s">
        <v>697</v>
      </c>
      <c r="D20" s="230">
        <v>0</v>
      </c>
      <c r="E20" s="230">
        <v>0</v>
      </c>
      <c r="F20" s="230">
        <v>0</v>
      </c>
      <c r="G20" s="230">
        <f>SUM(Table13[[#This Row],[El Limon Complex]:[Pan Mine]])</f>
        <v>0</v>
      </c>
    </row>
    <row r="21" spans="1:14" x14ac:dyDescent="0.35">
      <c r="A21" s="322"/>
      <c r="C21" s="10" t="s">
        <v>700</v>
      </c>
      <c r="D21" s="229">
        <f>SUM(D22:D23)</f>
        <v>0</v>
      </c>
      <c r="E21" s="229">
        <f t="shared" ref="E21:G21" si="4">SUM(E22:E23)</f>
        <v>0</v>
      </c>
      <c r="F21" s="229">
        <f t="shared" si="4"/>
        <v>0</v>
      </c>
      <c r="G21" s="229">
        <f t="shared" si="4"/>
        <v>0</v>
      </c>
    </row>
    <row r="22" spans="1:14" x14ac:dyDescent="0.35">
      <c r="A22" s="322"/>
      <c r="C22" s="8" t="s">
        <v>696</v>
      </c>
      <c r="D22" s="230">
        <v>0</v>
      </c>
      <c r="E22" s="230">
        <v>0</v>
      </c>
      <c r="F22" s="230">
        <v>0</v>
      </c>
      <c r="G22" s="230">
        <f>SUM(Table13[[#This Row],[El Limon Complex]:[Pan Mine]])</f>
        <v>0</v>
      </c>
    </row>
    <row r="23" spans="1:14" x14ac:dyDescent="0.35">
      <c r="A23" s="322"/>
      <c r="C23" s="8" t="s">
        <v>697</v>
      </c>
      <c r="D23" s="230">
        <v>0</v>
      </c>
      <c r="E23" s="230">
        <v>0</v>
      </c>
      <c r="F23" s="230">
        <v>0</v>
      </c>
      <c r="G23" s="230">
        <f>SUM(Table13[[#This Row],[El Limon Complex]:[Pan Mine]])</f>
        <v>0</v>
      </c>
    </row>
    <row r="24" spans="1:14" x14ac:dyDescent="0.35">
      <c r="A24" s="322"/>
      <c r="C24" s="31" t="s">
        <v>701</v>
      </c>
      <c r="D24" s="231"/>
      <c r="E24" s="231"/>
      <c r="F24" s="231"/>
      <c r="G24" s="231"/>
    </row>
    <row r="25" spans="1:14" x14ac:dyDescent="0.35">
      <c r="A25" s="322"/>
      <c r="C25" s="8" t="s">
        <v>702</v>
      </c>
      <c r="D25" s="230">
        <v>1.73</v>
      </c>
      <c r="E25" s="230">
        <v>4.8600000000000003</v>
      </c>
      <c r="F25" s="230">
        <v>0</v>
      </c>
      <c r="G25" s="230">
        <f>SUM(Table13[[#This Row],[El Limon Complex]:[Pan Mine]])</f>
        <v>6.59</v>
      </c>
    </row>
    <row r="26" spans="1:14" x14ac:dyDescent="0.35">
      <c r="A26" s="322"/>
      <c r="C26" s="8" t="s">
        <v>703</v>
      </c>
      <c r="D26" s="35"/>
      <c r="E26" s="35"/>
      <c r="F26" s="35"/>
      <c r="G26" s="35">
        <f>SUM(Table13[[#This Row],[El Limon Complex]:[Pan Mine]])</f>
        <v>0</v>
      </c>
    </row>
    <row r="27" spans="1:14" x14ac:dyDescent="0.35">
      <c r="A27" s="322"/>
      <c r="C27" s="8" t="s">
        <v>704</v>
      </c>
      <c r="D27" s="35"/>
      <c r="E27" s="35"/>
      <c r="F27" s="35"/>
      <c r="G27" s="35">
        <f>SUM(Table13[[#This Row],[El Limon Complex]:[Pan Mine]])</f>
        <v>0</v>
      </c>
    </row>
    <row r="28" spans="1:14" x14ac:dyDescent="0.35">
      <c r="A28" s="322"/>
      <c r="C28" s="8" t="s">
        <v>705</v>
      </c>
      <c r="D28" s="35"/>
      <c r="E28" s="35"/>
      <c r="F28" s="35"/>
      <c r="G28" s="35">
        <f>SUM(Table13[[#This Row],[El Limon Complex]:[Pan Mine]])</f>
        <v>0</v>
      </c>
    </row>
    <row r="29" spans="1:14" s="34" customFormat="1" x14ac:dyDescent="0.35">
      <c r="A29" s="322"/>
      <c r="B29" s="5"/>
      <c r="C29" s="31" t="s">
        <v>706</v>
      </c>
      <c r="D29" s="231"/>
      <c r="E29" s="231"/>
      <c r="F29" s="231"/>
      <c r="G29" s="231"/>
      <c r="H29" s="10"/>
      <c r="I29" s="10"/>
      <c r="J29" s="10"/>
      <c r="K29" s="10"/>
      <c r="L29" s="10"/>
      <c r="M29" s="33"/>
      <c r="N29" s="33"/>
    </row>
    <row r="30" spans="1:14" ht="26" x14ac:dyDescent="0.35">
      <c r="A30" s="322"/>
      <c r="C30" s="3" t="s">
        <v>707</v>
      </c>
      <c r="D30" s="79">
        <f>SUM(D12+D15+D18+D21+D25)</f>
        <v>524.13</v>
      </c>
      <c r="E30" s="79">
        <f>SUM(E12+E15+E18+E21+E25)</f>
        <v>4187.3499999999995</v>
      </c>
      <c r="F30" s="79">
        <f>SUM(F12+F15+F18+F21+F25)</f>
        <v>709.65804800000001</v>
      </c>
      <c r="G30" s="79">
        <f>SUM(G12+G15+G18+G21+G25)</f>
        <v>5421.1380479999998</v>
      </c>
    </row>
    <row r="31" spans="1:14" ht="24" customHeight="1" x14ac:dyDescent="0.35">
      <c r="A31" s="70"/>
      <c r="C31" s="319" t="s">
        <v>708</v>
      </c>
      <c r="D31" s="319"/>
      <c r="E31" s="319"/>
      <c r="F31" s="319"/>
      <c r="G31" s="319"/>
    </row>
    <row r="32" spans="1:14" x14ac:dyDescent="0.35">
      <c r="A32" s="70"/>
    </row>
    <row r="33" spans="1:7" x14ac:dyDescent="0.35">
      <c r="A33" s="323" t="s">
        <v>709</v>
      </c>
      <c r="C33" s="3" t="s">
        <v>710</v>
      </c>
      <c r="D33" s="3" t="s">
        <v>608</v>
      </c>
      <c r="E33" s="3" t="s">
        <v>609</v>
      </c>
      <c r="F33" s="3" t="s">
        <v>610</v>
      </c>
      <c r="G33" s="3" t="s">
        <v>693</v>
      </c>
    </row>
    <row r="34" spans="1:7" x14ac:dyDescent="0.35">
      <c r="A34" s="323"/>
      <c r="C34" s="31" t="s">
        <v>711</v>
      </c>
      <c r="D34" s="31"/>
      <c r="E34" s="31"/>
      <c r="F34" s="31"/>
      <c r="G34" s="31"/>
    </row>
    <row r="35" spans="1:7" x14ac:dyDescent="0.35">
      <c r="A35" s="323"/>
      <c r="C35" s="3" t="s">
        <v>712</v>
      </c>
      <c r="D35" s="277">
        <v>289.30399999999997</v>
      </c>
      <c r="E35" s="277">
        <v>2172.52</v>
      </c>
      <c r="F35" s="277">
        <v>0</v>
      </c>
      <c r="G35" s="277">
        <f>SUM(Table1321[[#This Row],[El Limon Complex]:[Pan Mine]])</f>
        <v>2461.8240000000001</v>
      </c>
    </row>
    <row r="36" spans="1:7" x14ac:dyDescent="0.35">
      <c r="A36" s="323"/>
      <c r="C36" s="3" t="s">
        <v>713</v>
      </c>
      <c r="D36" s="277">
        <v>0</v>
      </c>
      <c r="E36" s="277">
        <v>0</v>
      </c>
      <c r="F36" s="277">
        <v>0</v>
      </c>
      <c r="G36" s="277">
        <f>SUM(Table1321[[#This Row],[El Limon Complex]:[Pan Mine]])</f>
        <v>0</v>
      </c>
    </row>
    <row r="37" spans="1:7" x14ac:dyDescent="0.35">
      <c r="A37" s="323"/>
      <c r="C37" s="3" t="s">
        <v>714</v>
      </c>
      <c r="D37" s="277">
        <v>0</v>
      </c>
      <c r="E37" s="277">
        <v>0</v>
      </c>
      <c r="F37" s="277">
        <v>0</v>
      </c>
      <c r="G37" s="277">
        <f>SUM(Table1321[[#This Row],[El Limon Complex]:[Pan Mine]])</f>
        <v>0</v>
      </c>
    </row>
    <row r="38" spans="1:7" x14ac:dyDescent="0.35">
      <c r="A38" s="323"/>
      <c r="C38" s="3" t="s">
        <v>715</v>
      </c>
      <c r="D38" s="277">
        <v>0</v>
      </c>
      <c r="E38" s="277">
        <v>0</v>
      </c>
      <c r="F38" s="277">
        <v>0</v>
      </c>
      <c r="G38" s="277">
        <f>SUM(Table1321[[#This Row],[El Limon Complex]:[Pan Mine]])</f>
        <v>0</v>
      </c>
    </row>
    <row r="39" spans="1:7" x14ac:dyDescent="0.35">
      <c r="A39" s="323"/>
      <c r="C39" s="8" t="s">
        <v>716</v>
      </c>
      <c r="D39" s="277">
        <v>0</v>
      </c>
      <c r="E39" s="277">
        <v>0</v>
      </c>
      <c r="F39" s="277">
        <v>0</v>
      </c>
      <c r="G39" s="277">
        <f>SUM(Table1321[[#This Row],[El Limon Complex]:[Pan Mine]])</f>
        <v>0</v>
      </c>
    </row>
    <row r="40" spans="1:7" x14ac:dyDescent="0.35">
      <c r="A40" s="323"/>
      <c r="C40" s="31" t="s">
        <v>717</v>
      </c>
      <c r="D40" s="278"/>
      <c r="E40" s="278"/>
      <c r="F40" s="278"/>
      <c r="G40" s="278"/>
    </row>
    <row r="41" spans="1:7" x14ac:dyDescent="0.35">
      <c r="A41" s="323"/>
      <c r="C41" s="3" t="s">
        <v>718</v>
      </c>
      <c r="D41" s="277">
        <f>SUM(D35:D38)</f>
        <v>289.30399999999997</v>
      </c>
      <c r="E41" s="277">
        <f t="shared" ref="E41:G41" si="5">SUM(E35:E38)</f>
        <v>2172.52</v>
      </c>
      <c r="F41" s="277">
        <f t="shared" si="5"/>
        <v>0</v>
      </c>
      <c r="G41" s="277">
        <f t="shared" si="5"/>
        <v>2461.8240000000001</v>
      </c>
    </row>
    <row r="42" spans="1:7" x14ac:dyDescent="0.35">
      <c r="A42" s="323"/>
      <c r="C42" s="31" t="s">
        <v>719</v>
      </c>
      <c r="D42" s="278"/>
      <c r="E42" s="278"/>
      <c r="F42" s="278"/>
      <c r="G42" s="278"/>
    </row>
    <row r="43" spans="1:7" x14ac:dyDescent="0.35">
      <c r="A43" s="323"/>
      <c r="C43" s="3" t="s">
        <v>720</v>
      </c>
      <c r="D43" s="277">
        <v>0</v>
      </c>
      <c r="E43" s="277">
        <v>0</v>
      </c>
      <c r="F43" s="277">
        <v>0</v>
      </c>
      <c r="G43" s="277">
        <v>0</v>
      </c>
    </row>
    <row r="44" spans="1:7" x14ac:dyDescent="0.35">
      <c r="A44" s="323"/>
      <c r="C44" s="3" t="s">
        <v>721</v>
      </c>
      <c r="D44" s="277">
        <v>289.30399999999997</v>
      </c>
      <c r="E44" s="277">
        <v>2172.52</v>
      </c>
      <c r="F44" s="277">
        <v>0</v>
      </c>
      <c r="G44" s="277">
        <f>SUM(Table1321[[#This Row],[El Limon Complex]:[Pan Mine]])</f>
        <v>2461.8240000000001</v>
      </c>
    </row>
    <row r="45" spans="1:7" x14ac:dyDescent="0.35">
      <c r="A45" s="134"/>
      <c r="D45" s="39"/>
      <c r="E45" s="39"/>
      <c r="F45" s="39"/>
      <c r="G45" s="39"/>
    </row>
    <row r="46" spans="1:7" x14ac:dyDescent="0.35">
      <c r="A46" s="50"/>
    </row>
    <row r="47" spans="1:7" x14ac:dyDescent="0.35">
      <c r="A47" s="321" t="s">
        <v>722</v>
      </c>
      <c r="C47" s="3" t="s">
        <v>723</v>
      </c>
      <c r="D47" s="3" t="s">
        <v>608</v>
      </c>
      <c r="E47" s="3" t="s">
        <v>609</v>
      </c>
      <c r="F47" s="3" t="s">
        <v>610</v>
      </c>
      <c r="G47" s="3" t="s">
        <v>693</v>
      </c>
    </row>
    <row r="48" spans="1:7" ht="26" x14ac:dyDescent="0.35">
      <c r="A48" s="321"/>
      <c r="C48" s="3" t="s">
        <v>724</v>
      </c>
      <c r="D48" s="35">
        <f>D30-D41</f>
        <v>234.82600000000002</v>
      </c>
      <c r="E48" s="35">
        <f>E30-E41</f>
        <v>2014.8299999999995</v>
      </c>
      <c r="F48" s="35">
        <f>F30-F41</f>
        <v>709.65804800000001</v>
      </c>
      <c r="G48" s="35">
        <f>SUM(Table1322[[#This Row],[El Limon Complex]:[Pan Mine]])</f>
        <v>2959.3140479999993</v>
      </c>
    </row>
    <row r="49" spans="1:14" ht="26" x14ac:dyDescent="0.35">
      <c r="A49" s="321"/>
      <c r="C49" s="3" t="s">
        <v>725</v>
      </c>
      <c r="D49" s="279" t="s">
        <v>726</v>
      </c>
      <c r="E49" s="279" t="s">
        <v>726</v>
      </c>
      <c r="F49" s="279" t="s">
        <v>726</v>
      </c>
      <c r="G49" s="279" t="s">
        <v>726</v>
      </c>
    </row>
    <row r="50" spans="1:14" x14ac:dyDescent="0.35">
      <c r="A50" s="321"/>
      <c r="C50" s="3" t="s">
        <v>727</v>
      </c>
      <c r="D50" s="279">
        <v>701</v>
      </c>
      <c r="E50" s="279">
        <v>3889</v>
      </c>
      <c r="F50" s="279">
        <v>6066.33</v>
      </c>
      <c r="G50" s="35">
        <f>SUM(Table1322[[#This Row],[El Limon Complex]:[Pan Mine]])</f>
        <v>10656.33</v>
      </c>
    </row>
    <row r="51" spans="1:14" ht="26" x14ac:dyDescent="0.35">
      <c r="A51" s="321"/>
      <c r="C51" s="3" t="s">
        <v>728</v>
      </c>
      <c r="D51" s="279">
        <f>SUM(D48+D50)</f>
        <v>935.82600000000002</v>
      </c>
      <c r="E51" s="279">
        <f t="shared" ref="E51:F51" si="6">SUM(E48+E50)</f>
        <v>5903.83</v>
      </c>
      <c r="F51" s="279">
        <f t="shared" si="6"/>
        <v>6775.9880480000002</v>
      </c>
      <c r="G51" s="35">
        <f>SUM(Table1322[[#This Row],[El Limon Complex]:[Pan Mine]])</f>
        <v>13615.644048</v>
      </c>
    </row>
    <row r="52" spans="1:14" ht="26" x14ac:dyDescent="0.35">
      <c r="A52" s="321"/>
      <c r="C52" s="3" t="s">
        <v>729</v>
      </c>
      <c r="D52" s="129">
        <f>D50/D51</f>
        <v>0.74907087428645924</v>
      </c>
      <c r="E52" s="129">
        <f t="shared" ref="E52:F52" si="7">E50/E51</f>
        <v>0.65872492941023031</v>
      </c>
      <c r="F52" s="129">
        <f t="shared" si="7"/>
        <v>0.89526869838422118</v>
      </c>
      <c r="G52" s="129">
        <f>G50/G51</f>
        <v>0.78265339211517548</v>
      </c>
    </row>
    <row r="53" spans="1:14" ht="70.5" customHeight="1" x14ac:dyDescent="0.35">
      <c r="A53" s="321"/>
      <c r="C53" s="319" t="s">
        <v>730</v>
      </c>
      <c r="D53" s="319"/>
      <c r="E53" s="319"/>
      <c r="F53" s="319"/>
      <c r="G53" s="319"/>
    </row>
    <row r="54" spans="1:14" x14ac:dyDescent="0.35">
      <c r="A54" s="50"/>
    </row>
    <row r="55" spans="1:14" ht="15" customHeight="1" x14ac:dyDescent="0.35">
      <c r="A55" s="321" t="s">
        <v>731</v>
      </c>
      <c r="C55" s="3" t="s">
        <v>732</v>
      </c>
      <c r="D55" s="3" t="s">
        <v>733</v>
      </c>
      <c r="E55" s="3" t="s">
        <v>734</v>
      </c>
      <c r="F55" s="3" t="s">
        <v>735</v>
      </c>
      <c r="G55" s="3" t="s">
        <v>736</v>
      </c>
      <c r="H55" s="3" t="s">
        <v>737</v>
      </c>
      <c r="L55" s="1"/>
      <c r="N55"/>
    </row>
    <row r="56" spans="1:14" x14ac:dyDescent="0.35">
      <c r="A56" s="321"/>
      <c r="C56" s="31" t="s">
        <v>738</v>
      </c>
      <c r="D56" s="231">
        <v>574368</v>
      </c>
      <c r="E56" s="231">
        <v>561702</v>
      </c>
      <c r="F56" s="231">
        <v>408613</v>
      </c>
      <c r="G56" s="231">
        <v>328132</v>
      </c>
      <c r="H56" s="231">
        <v>242748</v>
      </c>
      <c r="L56" s="1"/>
      <c r="N56"/>
    </row>
    <row r="57" spans="1:14" x14ac:dyDescent="0.35">
      <c r="A57" s="321"/>
      <c r="C57" s="3" t="s">
        <v>739</v>
      </c>
      <c r="D57" s="35">
        <v>242487</v>
      </c>
      <c r="E57" s="35">
        <v>283494</v>
      </c>
      <c r="F57" s="35">
        <v>221999</v>
      </c>
      <c r="G57" s="35">
        <v>182755</v>
      </c>
      <c r="H57" s="35">
        <v>136009</v>
      </c>
      <c r="L57" s="1"/>
      <c r="N57"/>
    </row>
    <row r="58" spans="1:14" x14ac:dyDescent="0.35">
      <c r="A58" s="321"/>
      <c r="C58" s="31" t="s">
        <v>740</v>
      </c>
      <c r="D58" s="231">
        <f>G30</f>
        <v>5421.1380479999998</v>
      </c>
      <c r="E58" s="231">
        <v>3528.2100000000005</v>
      </c>
      <c r="F58" s="231">
        <v>3107</v>
      </c>
      <c r="G58" s="231">
        <v>4457.93</v>
      </c>
      <c r="H58" s="231">
        <v>3564.71</v>
      </c>
      <c r="L58" s="1"/>
      <c r="N58"/>
    </row>
    <row r="59" spans="1:14" x14ac:dyDescent="0.35">
      <c r="A59" s="321"/>
      <c r="C59" s="3" t="s">
        <v>741</v>
      </c>
      <c r="D59" s="270">
        <f>D58/D56</f>
        <v>9.4384402473675407E-3</v>
      </c>
      <c r="E59" s="270">
        <f t="shared" ref="E59:H59" si="8">E58/E56</f>
        <v>6.2812843821100873E-3</v>
      </c>
      <c r="F59" s="270">
        <f t="shared" si="8"/>
        <v>7.6037717840597334E-3</v>
      </c>
      <c r="G59" s="270">
        <f t="shared" si="8"/>
        <v>1.3585782550924628E-2</v>
      </c>
      <c r="H59" s="270">
        <f t="shared" si="8"/>
        <v>1.4684817176660569E-2</v>
      </c>
      <c r="L59" s="1"/>
      <c r="N59"/>
    </row>
    <row r="60" spans="1:14" x14ac:dyDescent="0.35">
      <c r="A60" s="321"/>
      <c r="C60" s="31" t="s">
        <v>742</v>
      </c>
      <c r="D60" s="271">
        <f>D58/D57</f>
        <v>2.2356406933155177E-2</v>
      </c>
      <c r="E60" s="271">
        <f t="shared" ref="E60:H60" si="9">E58/E57</f>
        <v>1.244544858092235E-2</v>
      </c>
      <c r="F60" s="271">
        <f t="shared" si="9"/>
        <v>1.3995558538551976E-2</v>
      </c>
      <c r="G60" s="271">
        <f t="shared" si="9"/>
        <v>2.439293042598014E-2</v>
      </c>
      <c r="H60" s="271">
        <f t="shared" si="9"/>
        <v>2.6209368497672948E-2</v>
      </c>
      <c r="L60" s="1"/>
      <c r="N60"/>
    </row>
    <row r="61" spans="1:14" ht="54.75" customHeight="1" x14ac:dyDescent="0.35">
      <c r="A61" s="321"/>
      <c r="C61" s="319" t="s">
        <v>743</v>
      </c>
      <c r="D61" s="319"/>
      <c r="E61" s="319"/>
      <c r="F61" s="319"/>
      <c r="G61" s="319"/>
      <c r="H61" s="319"/>
    </row>
    <row r="62" spans="1:14" x14ac:dyDescent="0.35">
      <c r="A62" s="50"/>
    </row>
  </sheetData>
  <mergeCells count="9">
    <mergeCell ref="C1:F1"/>
    <mergeCell ref="C2:F2"/>
    <mergeCell ref="A55:A61"/>
    <mergeCell ref="C53:G53"/>
    <mergeCell ref="A10:A30"/>
    <mergeCell ref="A33:A44"/>
    <mergeCell ref="C31:G31"/>
    <mergeCell ref="A47:A53"/>
    <mergeCell ref="C61:H61"/>
  </mergeCells>
  <phoneticPr fontId="14" type="noConversion"/>
  <hyperlinks>
    <hyperlink ref="C5" location="Water_Withdrawal" display="Water Withdrawal" xr:uid="{7754B057-8ECE-41FB-BF87-08E3C0E73DE5}"/>
    <hyperlink ref="C6" location="Water_Discharge" display="Water Discharge" xr:uid="{CE12B57E-86FC-4C3E-8FC7-F88EED95BD98}"/>
    <hyperlink ref="C7" location="Water_Consumption" display="Water Consumption" xr:uid="{259D72E7-F7FA-4B47-988C-FF00B5FB65F3}"/>
    <hyperlink ref="C8" location="Change_in_Water_Use_Efficiency_over_Time__SDG_6.4.1" display="Change in Water-Use Efficiency over Time" xr:uid="{B5105278-FE5D-4B43-9C06-C02ED6BCD2D6}"/>
    <hyperlink ref="G1" location="Tab_Menu" display=" Back to Menu" xr:uid="{9EDB9063-4DE3-4794-9F2C-F86434F3835A}"/>
  </hyperlinks>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6EE3-57F7-4164-A27A-7ABDF4B0E84A}">
  <dimension ref="A1:O89"/>
  <sheetViews>
    <sheetView showGridLines="0" zoomScaleNormal="100" workbookViewId="0">
      <pane xSplit="2" ySplit="8" topLeftCell="C74" activePane="bottomRight" state="frozen"/>
      <selection pane="topRight" activeCell="A77" sqref="A77:A83"/>
      <selection pane="bottomLeft" activeCell="A77" sqref="A77:A83"/>
      <selection pane="bottomRight" activeCell="H81" sqref="H81"/>
    </sheetView>
  </sheetViews>
  <sheetFormatPr defaultRowHeight="14.5" x14ac:dyDescent="0.35"/>
  <cols>
    <col min="1" max="1" width="32.54296875" style="5" customWidth="1"/>
    <col min="2" max="2" width="4" style="5" customWidth="1"/>
    <col min="3" max="3" width="43.54296875" style="3" customWidth="1"/>
    <col min="4" max="4" width="33.54296875" style="3" customWidth="1"/>
    <col min="5" max="5" width="39.54296875" style="3" customWidth="1"/>
    <col min="6" max="6" width="40.453125" style="3" customWidth="1"/>
    <col min="7" max="7" width="24" style="3" customWidth="1"/>
    <col min="8" max="8" width="19.26953125" style="3" bestFit="1" customWidth="1"/>
    <col min="9" max="9" width="37.54296875" style="3" bestFit="1" customWidth="1"/>
    <col min="10" max="10" width="15.26953125" style="3" bestFit="1" customWidth="1"/>
    <col min="11" max="11" width="17.26953125" style="3" bestFit="1" customWidth="1"/>
    <col min="12" max="13" width="9.1796875" style="3"/>
    <col min="14" max="15" width="9.1796875" style="1"/>
  </cols>
  <sheetData>
    <row r="1" spans="1:15" ht="18.5" x14ac:dyDescent="0.35">
      <c r="A1" s="10" t="s">
        <v>151</v>
      </c>
      <c r="C1" s="320" t="s">
        <v>744</v>
      </c>
      <c r="D1" s="320"/>
      <c r="E1" s="320"/>
      <c r="F1" s="320"/>
      <c r="G1" s="232" t="s">
        <v>153</v>
      </c>
    </row>
    <row r="2" spans="1:15" ht="18.5" x14ac:dyDescent="0.35">
      <c r="A2" s="10"/>
      <c r="C2" s="135"/>
      <c r="D2" s="135"/>
      <c r="E2" s="135"/>
      <c r="F2" s="135"/>
      <c r="G2" s="127"/>
    </row>
    <row r="3" spans="1:15" ht="15" customHeight="1" x14ac:dyDescent="0.35">
      <c r="A3" s="10"/>
      <c r="C3" s="235" t="s">
        <v>606</v>
      </c>
      <c r="D3" s="135"/>
      <c r="E3" s="135"/>
      <c r="F3" s="135"/>
      <c r="G3" s="127"/>
    </row>
    <row r="4" spans="1:15" s="2" customFormat="1" ht="13" x14ac:dyDescent="0.3">
      <c r="A4" s="3"/>
      <c r="B4" s="7"/>
      <c r="C4" s="215" t="s">
        <v>79</v>
      </c>
      <c r="D4" s="3"/>
      <c r="E4" s="3"/>
      <c r="F4" s="3"/>
      <c r="G4" s="128"/>
      <c r="H4" s="3"/>
      <c r="I4" s="3"/>
      <c r="J4" s="3"/>
      <c r="K4" s="3"/>
      <c r="L4" s="3"/>
      <c r="M4" s="3"/>
      <c r="N4" s="3"/>
      <c r="O4" s="3"/>
    </row>
    <row r="5" spans="1:15" s="2" customFormat="1" ht="13" x14ac:dyDescent="0.3">
      <c r="A5" s="3"/>
      <c r="B5" s="7"/>
      <c r="C5" s="215" t="s">
        <v>81</v>
      </c>
      <c r="D5" s="3"/>
      <c r="E5" s="3"/>
      <c r="F5" s="3"/>
      <c r="G5" s="128"/>
      <c r="H5" s="3"/>
      <c r="I5" s="3"/>
      <c r="J5" s="3"/>
      <c r="K5" s="3"/>
      <c r="L5" s="3"/>
      <c r="M5" s="3"/>
      <c r="N5" s="3"/>
      <c r="O5" s="3"/>
    </row>
    <row r="6" spans="1:15" s="2" customFormat="1" ht="13" x14ac:dyDescent="0.3">
      <c r="A6" s="3"/>
      <c r="B6" s="7"/>
      <c r="C6" s="215" t="s">
        <v>83</v>
      </c>
      <c r="D6" s="3"/>
      <c r="E6" s="3"/>
      <c r="F6" s="3"/>
      <c r="G6" s="128"/>
      <c r="H6" s="3"/>
      <c r="I6" s="3"/>
      <c r="J6" s="3"/>
      <c r="K6" s="3"/>
      <c r="L6" s="3"/>
      <c r="M6" s="3"/>
      <c r="N6" s="3"/>
      <c r="O6" s="3"/>
    </row>
    <row r="7" spans="1:15" s="2" customFormat="1" ht="13" x14ac:dyDescent="0.3">
      <c r="A7" s="3"/>
      <c r="B7" s="7"/>
      <c r="C7" s="215" t="s">
        <v>745</v>
      </c>
      <c r="D7" s="3"/>
      <c r="E7" s="3"/>
      <c r="F7" s="3"/>
      <c r="G7" s="128"/>
      <c r="H7" s="3"/>
      <c r="I7" s="3"/>
      <c r="J7" s="3"/>
      <c r="K7" s="3"/>
      <c r="L7" s="3"/>
      <c r="M7" s="3"/>
      <c r="N7" s="3"/>
      <c r="O7" s="3"/>
    </row>
    <row r="9" spans="1:15" ht="16.5" customHeight="1" x14ac:dyDescent="0.35">
      <c r="A9" s="322" t="s">
        <v>746</v>
      </c>
      <c r="C9" s="82" t="s">
        <v>747</v>
      </c>
      <c r="D9" s="83" t="s">
        <v>608</v>
      </c>
      <c r="E9" s="83" t="s">
        <v>609</v>
      </c>
      <c r="F9" s="83" t="s">
        <v>610</v>
      </c>
      <c r="G9" s="84" t="s">
        <v>693</v>
      </c>
    </row>
    <row r="10" spans="1:15" x14ac:dyDescent="0.35">
      <c r="A10" s="322"/>
      <c r="C10" s="85" t="s">
        <v>748</v>
      </c>
      <c r="D10" s="209">
        <f>SUM(D11:D12)</f>
        <v>15542278.764281299</v>
      </c>
      <c r="E10" s="209">
        <f t="shared" ref="E10:G10" si="0">SUM(E11:E12)</f>
        <v>16378560.226</v>
      </c>
      <c r="F10" s="209">
        <f t="shared" si="0"/>
        <v>12973392.310000001</v>
      </c>
      <c r="G10" s="209">
        <f t="shared" si="0"/>
        <v>44894231.300281301</v>
      </c>
    </row>
    <row r="11" spans="1:15" x14ac:dyDescent="0.35">
      <c r="A11" s="322"/>
      <c r="C11" s="86" t="s">
        <v>749</v>
      </c>
      <c r="D11" s="210">
        <f>D15</f>
        <v>769.35</v>
      </c>
      <c r="E11" s="210">
        <f t="shared" ref="E11:G11" si="1">E15</f>
        <v>796.226</v>
      </c>
      <c r="F11" s="210">
        <f t="shared" si="1"/>
        <v>243.31</v>
      </c>
      <c r="G11" s="210">
        <f t="shared" si="1"/>
        <v>1808.886</v>
      </c>
    </row>
    <row r="12" spans="1:15" x14ac:dyDescent="0.35">
      <c r="A12" s="322"/>
      <c r="C12" s="86" t="s">
        <v>750</v>
      </c>
      <c r="D12" s="210">
        <f>D20</f>
        <v>15541509.414281299</v>
      </c>
      <c r="E12" s="210">
        <f t="shared" ref="E12:G12" si="2">E20</f>
        <v>16377764</v>
      </c>
      <c r="F12" s="210">
        <f t="shared" si="2"/>
        <v>12973149</v>
      </c>
      <c r="G12" s="210">
        <f t="shared" si="2"/>
        <v>44892422.414281301</v>
      </c>
    </row>
    <row r="13" spans="1:15" x14ac:dyDescent="0.35">
      <c r="A13" s="322"/>
    </row>
    <row r="14" spans="1:15" s="3" customFormat="1" ht="15.75" customHeight="1" x14ac:dyDescent="0.35">
      <c r="A14" s="322"/>
      <c r="B14" s="5"/>
      <c r="C14" s="3" t="s">
        <v>751</v>
      </c>
      <c r="D14" s="3" t="s">
        <v>608</v>
      </c>
      <c r="E14" s="3" t="s">
        <v>609</v>
      </c>
      <c r="F14" s="3" t="s">
        <v>610</v>
      </c>
      <c r="G14" s="3" t="s">
        <v>693</v>
      </c>
      <c r="N14" s="1"/>
      <c r="O14" s="1"/>
    </row>
    <row r="15" spans="1:15" s="3" customFormat="1" x14ac:dyDescent="0.35">
      <c r="A15" s="322"/>
      <c r="B15" s="5"/>
      <c r="C15" s="10" t="s">
        <v>752</v>
      </c>
      <c r="D15" s="78">
        <f>SUM(D16:D17)</f>
        <v>769.35</v>
      </c>
      <c r="E15" s="78">
        <f t="shared" ref="E15:G15" si="3">SUM(E16:E17)</f>
        <v>796.226</v>
      </c>
      <c r="F15" s="78">
        <f t="shared" si="3"/>
        <v>243.31</v>
      </c>
      <c r="G15" s="78">
        <f t="shared" si="3"/>
        <v>1808.886</v>
      </c>
      <c r="N15" s="1"/>
      <c r="O15" s="1"/>
    </row>
    <row r="16" spans="1:15" s="3" customFormat="1" x14ac:dyDescent="0.35">
      <c r="A16" s="322"/>
      <c r="B16" s="5"/>
      <c r="C16" s="3" t="s">
        <v>753</v>
      </c>
      <c r="D16" s="211">
        <f>SUM(D26+D49)</f>
        <v>88.13</v>
      </c>
      <c r="E16" s="211">
        <f>SUM(E26+E49)</f>
        <v>56.879999999999995</v>
      </c>
      <c r="F16" s="179">
        <v>28.06</v>
      </c>
      <c r="G16" s="179">
        <f>SUM(Table134[[#This Row],[El Limon Complex]:[Pan Mine]])</f>
        <v>173.07</v>
      </c>
      <c r="N16" s="1"/>
      <c r="O16" s="1"/>
    </row>
    <row r="17" spans="1:15" s="3" customFormat="1" x14ac:dyDescent="0.35">
      <c r="A17" s="322"/>
      <c r="B17" s="5"/>
      <c r="C17" s="3" t="s">
        <v>754</v>
      </c>
      <c r="D17" s="211">
        <f>SUM(D36+D62)</f>
        <v>681.22</v>
      </c>
      <c r="E17" s="211">
        <f>SUM(E36+E62)</f>
        <v>739.346</v>
      </c>
      <c r="F17" s="179">
        <v>215.25</v>
      </c>
      <c r="G17" s="179">
        <f>SUM(Table134[[#This Row],[El Limon Complex]:[Pan Mine]])</f>
        <v>1635.816</v>
      </c>
      <c r="N17" s="1"/>
      <c r="O17" s="1"/>
    </row>
    <row r="18" spans="1:15" s="88" customFormat="1" x14ac:dyDescent="0.35">
      <c r="A18" s="322"/>
      <c r="B18" s="81"/>
      <c r="C18" s="74"/>
      <c r="D18" s="74"/>
      <c r="E18" s="74"/>
      <c r="F18" s="74"/>
      <c r="G18" s="74"/>
      <c r="H18" s="74"/>
      <c r="I18" s="74"/>
      <c r="J18" s="74"/>
      <c r="K18" s="74"/>
      <c r="L18" s="74"/>
      <c r="M18" s="74"/>
      <c r="N18" s="87"/>
      <c r="O18" s="87"/>
    </row>
    <row r="19" spans="1:15" s="92" customFormat="1" x14ac:dyDescent="0.35">
      <c r="A19" s="322"/>
      <c r="B19" s="91"/>
      <c r="C19" s="3" t="s">
        <v>755</v>
      </c>
      <c r="D19" s="3" t="s">
        <v>608</v>
      </c>
      <c r="E19" s="3" t="s">
        <v>609</v>
      </c>
      <c r="F19" s="3" t="s">
        <v>610</v>
      </c>
      <c r="G19" s="3" t="s">
        <v>693</v>
      </c>
      <c r="H19" s="3"/>
      <c r="I19" s="3"/>
      <c r="J19" s="3"/>
      <c r="K19" s="3"/>
      <c r="L19" s="3"/>
      <c r="M19" s="3"/>
      <c r="N19" s="1"/>
      <c r="O19" s="1"/>
    </row>
    <row r="20" spans="1:15" s="90" customFormat="1" x14ac:dyDescent="0.35">
      <c r="A20" s="322"/>
      <c r="B20" s="81"/>
      <c r="C20" s="10" t="s">
        <v>756</v>
      </c>
      <c r="D20" s="212">
        <f>SUM(D21:D22)</f>
        <v>15541509.414281299</v>
      </c>
      <c r="E20" s="212">
        <f t="shared" ref="E20:G20" si="4">SUM(E21:E22)</f>
        <v>16377764</v>
      </c>
      <c r="F20" s="212">
        <f t="shared" si="4"/>
        <v>12973149</v>
      </c>
      <c r="G20" s="212">
        <f t="shared" si="4"/>
        <v>44892422.414281301</v>
      </c>
      <c r="H20" s="80"/>
      <c r="I20" s="80"/>
      <c r="J20" s="80"/>
      <c r="K20" s="80"/>
      <c r="L20" s="80"/>
      <c r="M20" s="80"/>
      <c r="N20" s="89"/>
      <c r="O20" s="89"/>
    </row>
    <row r="21" spans="1:15" s="88" customFormat="1" x14ac:dyDescent="0.35">
      <c r="A21" s="322"/>
      <c r="B21" s="81"/>
      <c r="C21" s="3" t="s">
        <v>757</v>
      </c>
      <c r="D21" s="213">
        <v>506121</v>
      </c>
      <c r="E21" s="213">
        <v>1655556</v>
      </c>
      <c r="F21" s="213">
        <v>0</v>
      </c>
      <c r="G21" s="213">
        <f>SUM(Table13463[[#This Row],[El Limon Complex]:[Pan Mine]])</f>
        <v>2161677</v>
      </c>
      <c r="H21" s="74"/>
      <c r="I21" s="74"/>
      <c r="J21" s="74"/>
      <c r="K21" s="74"/>
      <c r="L21" s="74"/>
      <c r="M21" s="74"/>
      <c r="N21" s="87"/>
      <c r="O21" s="87"/>
    </row>
    <row r="22" spans="1:15" s="88" customFormat="1" x14ac:dyDescent="0.35">
      <c r="A22" s="322"/>
      <c r="B22" s="81"/>
      <c r="C22" s="3" t="s">
        <v>758</v>
      </c>
      <c r="D22" s="213">
        <v>15035388.414281299</v>
      </c>
      <c r="E22" s="213">
        <f>3087732+11634476</f>
        <v>14722208</v>
      </c>
      <c r="F22" s="213">
        <v>12973149</v>
      </c>
      <c r="G22" s="213">
        <f>SUM(Table13463[[#This Row],[El Limon Complex]:[Pan Mine]])</f>
        <v>42730745.414281301</v>
      </c>
      <c r="H22" s="74"/>
      <c r="I22" s="74"/>
      <c r="J22" s="74"/>
      <c r="K22" s="74"/>
      <c r="L22" s="74"/>
      <c r="M22" s="74"/>
      <c r="N22" s="87"/>
      <c r="O22" s="87"/>
    </row>
    <row r="24" spans="1:15" x14ac:dyDescent="0.35">
      <c r="A24" s="322" t="s">
        <v>759</v>
      </c>
      <c r="C24" s="3" t="s">
        <v>760</v>
      </c>
      <c r="D24" s="3" t="s">
        <v>608</v>
      </c>
      <c r="E24" s="3" t="s">
        <v>609</v>
      </c>
      <c r="F24" s="3" t="s">
        <v>610</v>
      </c>
      <c r="G24" s="3" t="s">
        <v>693</v>
      </c>
    </row>
    <row r="25" spans="1:15" x14ac:dyDescent="0.35">
      <c r="A25" s="322"/>
      <c r="C25" s="10" t="s">
        <v>761</v>
      </c>
      <c r="D25" s="280">
        <f>SUM(D26+D36)</f>
        <v>425.65000000000003</v>
      </c>
      <c r="E25" s="280">
        <f t="shared" ref="E25:G25" si="5">SUM(E26+E36)</f>
        <v>473.53999999999996</v>
      </c>
      <c r="F25" s="280">
        <f t="shared" si="5"/>
        <v>13.99</v>
      </c>
      <c r="G25" s="280">
        <f t="shared" si="5"/>
        <v>913.18</v>
      </c>
    </row>
    <row r="26" spans="1:15" s="34" customFormat="1" x14ac:dyDescent="0.35">
      <c r="A26" s="322"/>
      <c r="B26" s="5"/>
      <c r="C26" s="31" t="s">
        <v>753</v>
      </c>
      <c r="D26" s="281">
        <f>SUM(D27+D30+D33)</f>
        <v>88.05</v>
      </c>
      <c r="E26" s="281">
        <f t="shared" ref="E26:G26" si="6">SUM(E27+E30+E33)</f>
        <v>55.97</v>
      </c>
      <c r="F26" s="281">
        <f t="shared" si="6"/>
        <v>13.99</v>
      </c>
      <c r="G26" s="281">
        <f t="shared" si="6"/>
        <v>158.01</v>
      </c>
      <c r="H26" s="10"/>
      <c r="I26" s="3"/>
      <c r="J26" s="3"/>
      <c r="K26" s="3"/>
      <c r="L26" s="10"/>
      <c r="M26" s="10"/>
      <c r="N26" s="33"/>
      <c r="O26" s="33"/>
    </row>
    <row r="27" spans="1:15" x14ac:dyDescent="0.35">
      <c r="A27" s="322"/>
      <c r="C27" s="13" t="s">
        <v>762</v>
      </c>
      <c r="D27" s="280">
        <f t="shared" ref="D27:D43" si="7">SUM(D28:D29)</f>
        <v>0</v>
      </c>
      <c r="E27" s="280">
        <f t="shared" ref="E27" si="8">SUM(E28:E29)</f>
        <v>0</v>
      </c>
      <c r="F27" s="280">
        <f t="shared" ref="F27" si="9">SUM(F28:F29)</f>
        <v>0</v>
      </c>
      <c r="G27" s="280">
        <f t="shared" ref="G27" si="10">SUM(G28:G29)</f>
        <v>0</v>
      </c>
    </row>
    <row r="28" spans="1:15" s="34" customFormat="1" x14ac:dyDescent="0.35">
      <c r="A28" s="322"/>
      <c r="B28" s="5"/>
      <c r="C28" s="8" t="s">
        <v>763</v>
      </c>
      <c r="D28" s="282">
        <v>0</v>
      </c>
      <c r="E28" s="282">
        <v>0</v>
      </c>
      <c r="F28" s="282">
        <v>0</v>
      </c>
      <c r="G28" s="282">
        <f>SUM(Table13416[[#This Row],[El Limon Complex]:[Pan Mine]])</f>
        <v>0</v>
      </c>
      <c r="H28" s="10"/>
      <c r="I28" s="3"/>
      <c r="J28" s="3"/>
      <c r="K28" s="3"/>
      <c r="L28" s="10"/>
      <c r="M28" s="10"/>
      <c r="N28" s="33"/>
      <c r="O28" s="33"/>
    </row>
    <row r="29" spans="1:15" x14ac:dyDescent="0.35">
      <c r="A29" s="322"/>
      <c r="C29" s="8" t="s">
        <v>764</v>
      </c>
      <c r="D29" s="282">
        <v>0</v>
      </c>
      <c r="E29" s="282">
        <v>0</v>
      </c>
      <c r="F29" s="282">
        <v>0</v>
      </c>
      <c r="G29" s="282">
        <f>SUM(Table13416[[#This Row],[El Limon Complex]:[Pan Mine]])</f>
        <v>0</v>
      </c>
    </row>
    <row r="30" spans="1:15" x14ac:dyDescent="0.35">
      <c r="A30" s="322"/>
      <c r="C30" s="13" t="s">
        <v>765</v>
      </c>
      <c r="D30" s="280">
        <f>SUM(D31:D32)</f>
        <v>0</v>
      </c>
      <c r="E30" s="280">
        <f t="shared" ref="E30:G30" si="11">SUM(E31:E32)</f>
        <v>0</v>
      </c>
      <c r="F30" s="280">
        <f t="shared" si="11"/>
        <v>13.99</v>
      </c>
      <c r="G30" s="280">
        <f t="shared" si="11"/>
        <v>13.99</v>
      </c>
    </row>
    <row r="31" spans="1:15" s="34" customFormat="1" x14ac:dyDescent="0.35">
      <c r="A31" s="322"/>
      <c r="B31" s="5"/>
      <c r="C31" s="8" t="s">
        <v>763</v>
      </c>
      <c r="D31" s="282">
        <v>0</v>
      </c>
      <c r="E31" s="282">
        <v>0</v>
      </c>
      <c r="F31" s="282">
        <v>0</v>
      </c>
      <c r="G31" s="282">
        <f>SUM(Table13416[[#This Row],[El Limon Complex]:[Pan Mine]])</f>
        <v>0</v>
      </c>
      <c r="H31" s="10"/>
      <c r="I31" s="3"/>
      <c r="J31" s="3"/>
      <c r="K31" s="3"/>
      <c r="L31" s="10"/>
      <c r="M31" s="10"/>
      <c r="N31" s="33"/>
      <c r="O31" s="33"/>
    </row>
    <row r="32" spans="1:15" x14ac:dyDescent="0.35">
      <c r="A32" s="322"/>
      <c r="C32" s="8" t="s">
        <v>764</v>
      </c>
      <c r="D32" s="282">
        <v>0</v>
      </c>
      <c r="E32" s="282">
        <v>0</v>
      </c>
      <c r="F32" s="282">
        <v>13.99</v>
      </c>
      <c r="G32" s="282">
        <f>SUM(Table13416[[#This Row],[El Limon Complex]:[Pan Mine]])</f>
        <v>13.99</v>
      </c>
    </row>
    <row r="33" spans="1:15" x14ac:dyDescent="0.35">
      <c r="A33" s="322"/>
      <c r="C33" s="13" t="s">
        <v>766</v>
      </c>
      <c r="D33" s="280">
        <f t="shared" si="7"/>
        <v>88.05</v>
      </c>
      <c r="E33" s="280">
        <f t="shared" ref="E33" si="12">SUM(E34:E35)</f>
        <v>55.97</v>
      </c>
      <c r="F33" s="280">
        <f t="shared" ref="F33" si="13">SUM(F34:F35)</f>
        <v>0</v>
      </c>
      <c r="G33" s="280">
        <f t="shared" ref="G33" si="14">SUM(G34:G35)</f>
        <v>144.01999999999998</v>
      </c>
    </row>
    <row r="34" spans="1:15" s="34" customFormat="1" x14ac:dyDescent="0.35">
      <c r="A34" s="322"/>
      <c r="B34" s="5"/>
      <c r="C34" s="8" t="s">
        <v>763</v>
      </c>
      <c r="D34" s="282">
        <v>0</v>
      </c>
      <c r="E34" s="282">
        <v>0</v>
      </c>
      <c r="F34" s="282">
        <v>0</v>
      </c>
      <c r="G34" s="282">
        <f>SUM(Table13416[[#This Row],[El Limon Complex]:[Pan Mine]])</f>
        <v>0</v>
      </c>
      <c r="H34" s="10"/>
      <c r="I34" s="3"/>
      <c r="J34" s="3"/>
      <c r="K34" s="3"/>
      <c r="L34" s="10"/>
      <c r="M34" s="10"/>
      <c r="N34" s="33"/>
      <c r="O34" s="33"/>
    </row>
    <row r="35" spans="1:15" x14ac:dyDescent="0.35">
      <c r="A35" s="322"/>
      <c r="C35" s="8" t="s">
        <v>764</v>
      </c>
      <c r="D35" s="282">
        <v>88.05</v>
      </c>
      <c r="E35" s="282">
        <v>55.97</v>
      </c>
      <c r="F35" s="282">
        <v>0</v>
      </c>
      <c r="G35" s="282">
        <f>SUM(Table13416[[#This Row],[El Limon Complex]:[Pan Mine]])</f>
        <v>144.01999999999998</v>
      </c>
    </row>
    <row r="36" spans="1:15" x14ac:dyDescent="0.35">
      <c r="A36" s="322"/>
      <c r="C36" s="31" t="s">
        <v>767</v>
      </c>
      <c r="D36" s="281">
        <f>SUM(D37+D40+D43)</f>
        <v>337.6</v>
      </c>
      <c r="E36" s="281">
        <f t="shared" ref="E36:G36" si="15">SUM(E37+E40+E43)</f>
        <v>417.57</v>
      </c>
      <c r="F36" s="281">
        <f t="shared" si="15"/>
        <v>0</v>
      </c>
      <c r="G36" s="281">
        <f t="shared" si="15"/>
        <v>755.17</v>
      </c>
    </row>
    <row r="37" spans="1:15" x14ac:dyDescent="0.35">
      <c r="A37" s="322"/>
      <c r="C37" s="13" t="s">
        <v>762</v>
      </c>
      <c r="D37" s="280">
        <f t="shared" si="7"/>
        <v>0</v>
      </c>
      <c r="E37" s="280">
        <f t="shared" ref="E37" si="16">SUM(E38:E39)</f>
        <v>0</v>
      </c>
      <c r="F37" s="280">
        <f t="shared" ref="F37" si="17">SUM(F38:F39)</f>
        <v>0</v>
      </c>
      <c r="G37" s="280">
        <f t="shared" ref="G37" si="18">SUM(G38:G39)</f>
        <v>0</v>
      </c>
    </row>
    <row r="38" spans="1:15" x14ac:dyDescent="0.35">
      <c r="A38" s="322"/>
      <c r="C38" s="8" t="s">
        <v>763</v>
      </c>
      <c r="D38" s="282">
        <v>0</v>
      </c>
      <c r="E38" s="282">
        <v>0</v>
      </c>
      <c r="F38" s="282">
        <v>0</v>
      </c>
      <c r="G38" s="282">
        <f>SUM(Table13416[[#This Row],[El Limon Complex]:[Pan Mine]])</f>
        <v>0</v>
      </c>
    </row>
    <row r="39" spans="1:15" x14ac:dyDescent="0.35">
      <c r="A39" s="322"/>
      <c r="C39" s="8" t="s">
        <v>764</v>
      </c>
      <c r="D39" s="282">
        <v>0</v>
      </c>
      <c r="E39" s="282">
        <v>0</v>
      </c>
      <c r="F39" s="282">
        <v>0</v>
      </c>
      <c r="G39" s="282">
        <f>SUM(Table13416[[#This Row],[El Limon Complex]:[Pan Mine]])</f>
        <v>0</v>
      </c>
    </row>
    <row r="40" spans="1:15" x14ac:dyDescent="0.35">
      <c r="A40" s="322"/>
      <c r="C40" s="13" t="s">
        <v>765</v>
      </c>
      <c r="D40" s="280">
        <f t="shared" si="7"/>
        <v>337.6</v>
      </c>
      <c r="E40" s="280">
        <f t="shared" ref="E40" si="19">SUM(E41:E42)</f>
        <v>398.2</v>
      </c>
      <c r="F40" s="280">
        <f t="shared" ref="F40" si="20">SUM(F41:F42)</f>
        <v>0</v>
      </c>
      <c r="G40" s="280">
        <f t="shared" ref="G40" si="21">SUM(G41:G42)</f>
        <v>735.8</v>
      </c>
    </row>
    <row r="41" spans="1:15" x14ac:dyDescent="0.35">
      <c r="A41" s="322"/>
      <c r="C41" s="8" t="s">
        <v>763</v>
      </c>
      <c r="D41" s="282">
        <v>0</v>
      </c>
      <c r="E41" s="282">
        <v>0</v>
      </c>
      <c r="F41" s="282">
        <v>0</v>
      </c>
      <c r="G41" s="282">
        <f>SUM(Table13416[[#This Row],[El Limon Complex]:[Pan Mine]])</f>
        <v>0</v>
      </c>
    </row>
    <row r="42" spans="1:15" x14ac:dyDescent="0.35">
      <c r="A42" s="322"/>
      <c r="C42" s="8" t="s">
        <v>764</v>
      </c>
      <c r="D42" s="282">
        <v>337.6</v>
      </c>
      <c r="E42" s="282">
        <v>398.2</v>
      </c>
      <c r="F42" s="282">
        <v>0</v>
      </c>
      <c r="G42" s="282">
        <f>SUM(Table13416[[#This Row],[El Limon Complex]:[Pan Mine]])</f>
        <v>735.8</v>
      </c>
    </row>
    <row r="43" spans="1:15" x14ac:dyDescent="0.35">
      <c r="A43" s="322"/>
      <c r="C43" s="13" t="s">
        <v>766</v>
      </c>
      <c r="D43" s="280">
        <f t="shared" si="7"/>
        <v>0</v>
      </c>
      <c r="E43" s="280">
        <f t="shared" ref="E43" si="22">SUM(E44:E45)</f>
        <v>19.37</v>
      </c>
      <c r="F43" s="280">
        <f t="shared" ref="F43" si="23">SUM(F44:F45)</f>
        <v>0</v>
      </c>
      <c r="G43" s="280">
        <f t="shared" ref="G43" si="24">SUM(G44:G45)</f>
        <v>19.37</v>
      </c>
    </row>
    <row r="44" spans="1:15" x14ac:dyDescent="0.35">
      <c r="A44" s="322"/>
      <c r="C44" s="8" t="s">
        <v>763</v>
      </c>
      <c r="D44" s="282">
        <v>0</v>
      </c>
      <c r="E44" s="282">
        <v>0</v>
      </c>
      <c r="F44" s="282">
        <v>0</v>
      </c>
      <c r="G44" s="282">
        <f>SUM(Table13416[[#This Row],[El Limon Complex]:[Pan Mine]])</f>
        <v>0</v>
      </c>
    </row>
    <row r="45" spans="1:15" x14ac:dyDescent="0.35">
      <c r="A45" s="322"/>
      <c r="C45" s="8" t="s">
        <v>764</v>
      </c>
      <c r="D45" s="282">
        <v>0</v>
      </c>
      <c r="E45" s="282">
        <v>19.37</v>
      </c>
      <c r="F45" s="282">
        <v>0</v>
      </c>
      <c r="G45" s="282">
        <f>SUM(Table13416[[#This Row],[El Limon Complex]:[Pan Mine]])</f>
        <v>19.37</v>
      </c>
    </row>
    <row r="47" spans="1:15" x14ac:dyDescent="0.35">
      <c r="A47" s="322" t="s">
        <v>768</v>
      </c>
      <c r="C47" s="3" t="s">
        <v>769</v>
      </c>
      <c r="D47" s="3" t="s">
        <v>608</v>
      </c>
      <c r="E47" s="3" t="s">
        <v>609</v>
      </c>
      <c r="F47" s="3" t="s">
        <v>610</v>
      </c>
      <c r="G47" s="3" t="s">
        <v>693</v>
      </c>
      <c r="M47" s="1"/>
      <c r="O47"/>
    </row>
    <row r="48" spans="1:15" x14ac:dyDescent="0.35">
      <c r="A48" s="322"/>
      <c r="C48" s="10" t="s">
        <v>770</v>
      </c>
      <c r="D48" s="283">
        <f>SUM(D49+D62)</f>
        <v>343.7</v>
      </c>
      <c r="E48" s="283">
        <f>SUM(E49+E62)</f>
        <v>322.68600000000004</v>
      </c>
      <c r="F48" s="283">
        <f>SUM(F49+F62)</f>
        <v>229.32</v>
      </c>
      <c r="G48" s="283">
        <f>SUM(G49+G62)</f>
        <v>895.7059999999999</v>
      </c>
      <c r="M48" s="1"/>
      <c r="O48"/>
    </row>
    <row r="49" spans="1:15" x14ac:dyDescent="0.35">
      <c r="A49" s="322"/>
      <c r="C49" s="31" t="s">
        <v>753</v>
      </c>
      <c r="D49" s="276">
        <f>SUM(D50+D53+D56+D59)</f>
        <v>0.08</v>
      </c>
      <c r="E49" s="276">
        <f t="shared" ref="E49:G49" si="25">SUM(E50+E53+E56+E59)</f>
        <v>0.91</v>
      </c>
      <c r="F49" s="276">
        <f t="shared" si="25"/>
        <v>14.07</v>
      </c>
      <c r="G49" s="276">
        <f t="shared" si="25"/>
        <v>15.06</v>
      </c>
      <c r="M49" s="1"/>
      <c r="O49"/>
    </row>
    <row r="50" spans="1:15" x14ac:dyDescent="0.35">
      <c r="A50" s="322"/>
      <c r="C50" s="13" t="s">
        <v>771</v>
      </c>
      <c r="D50" s="283">
        <f t="shared" ref="D50" si="26">SUM(D51:D52)</f>
        <v>0</v>
      </c>
      <c r="E50" s="283">
        <f t="shared" ref="E50" si="27">SUM(E51:E52)</f>
        <v>0</v>
      </c>
      <c r="F50" s="283">
        <f t="shared" ref="F50" si="28">SUM(F51:F52)</f>
        <v>0</v>
      </c>
      <c r="G50" s="283">
        <f>SUM(Table13417[[#This Row],[El Limon Complex]:[Pan Mine]])</f>
        <v>0</v>
      </c>
      <c r="M50" s="1"/>
      <c r="O50"/>
    </row>
    <row r="51" spans="1:15" x14ac:dyDescent="0.35">
      <c r="A51" s="322"/>
      <c r="C51" s="8" t="s">
        <v>763</v>
      </c>
      <c r="D51" s="275">
        <v>0</v>
      </c>
      <c r="E51" s="275">
        <v>0</v>
      </c>
      <c r="F51" s="275">
        <v>0</v>
      </c>
      <c r="G51" s="275">
        <f>SUM(Table13417[[#This Row],[El Limon Complex]:[Pan Mine]])</f>
        <v>0</v>
      </c>
      <c r="M51" s="1"/>
      <c r="O51"/>
    </row>
    <row r="52" spans="1:15" x14ac:dyDescent="0.35">
      <c r="A52" s="322"/>
      <c r="C52" s="8" t="s">
        <v>764</v>
      </c>
      <c r="D52" s="275">
        <v>0</v>
      </c>
      <c r="E52" s="275">
        <v>0</v>
      </c>
      <c r="F52" s="275">
        <v>0</v>
      </c>
      <c r="G52" s="275">
        <f>SUM(Table13417[[#This Row],[El Limon Complex]:[Pan Mine]])</f>
        <v>0</v>
      </c>
      <c r="M52" s="1"/>
      <c r="O52"/>
    </row>
    <row r="53" spans="1:15" x14ac:dyDescent="0.35">
      <c r="A53" s="322"/>
      <c r="C53" s="13" t="s">
        <v>772</v>
      </c>
      <c r="D53" s="283">
        <f t="shared" ref="D53" si="29">SUM(D54:D55)</f>
        <v>0.08</v>
      </c>
      <c r="E53" s="283">
        <f t="shared" ref="E53" si="30">SUM(E54:E55)</f>
        <v>0.91</v>
      </c>
      <c r="F53" s="283">
        <f t="shared" ref="F53" si="31">SUM(F54:F55)</f>
        <v>0</v>
      </c>
      <c r="G53" s="283">
        <f>SUM(Table13417[[#This Row],[El Limon Complex]:[Pan Mine]])</f>
        <v>0.99</v>
      </c>
      <c r="M53" s="1"/>
      <c r="O53"/>
    </row>
    <row r="54" spans="1:15" x14ac:dyDescent="0.35">
      <c r="A54" s="322"/>
      <c r="C54" s="8" t="s">
        <v>763</v>
      </c>
      <c r="D54" s="275">
        <v>0</v>
      </c>
      <c r="E54" s="275">
        <v>0.91</v>
      </c>
      <c r="F54" s="275">
        <v>0</v>
      </c>
      <c r="G54" s="275">
        <f>SUM(Table13417[[#This Row],[El Limon Complex]:[Pan Mine]])</f>
        <v>0.91</v>
      </c>
      <c r="M54" s="1"/>
      <c r="O54"/>
    </row>
    <row r="55" spans="1:15" x14ac:dyDescent="0.35">
      <c r="A55" s="322"/>
      <c r="C55" s="8" t="s">
        <v>764</v>
      </c>
      <c r="D55" s="275">
        <v>0.08</v>
      </c>
      <c r="E55" s="275">
        <v>0</v>
      </c>
      <c r="F55" s="275">
        <v>0</v>
      </c>
      <c r="G55" s="275">
        <f>SUM(Table13417[[#This Row],[El Limon Complex]:[Pan Mine]])</f>
        <v>0.08</v>
      </c>
      <c r="M55" s="1"/>
      <c r="O55"/>
    </row>
    <row r="56" spans="1:15" x14ac:dyDescent="0.35">
      <c r="A56" s="322"/>
      <c r="C56" s="13" t="s">
        <v>773</v>
      </c>
      <c r="D56" s="283">
        <f>SUM(D57:D58)</f>
        <v>0</v>
      </c>
      <c r="E56" s="283">
        <f t="shared" ref="E56" si="32">SUM(E57:E58)</f>
        <v>0</v>
      </c>
      <c r="F56" s="283">
        <f t="shared" ref="F56" si="33">SUM(F57:F58)</f>
        <v>14.07</v>
      </c>
      <c r="G56" s="283">
        <f t="shared" ref="G56" si="34">SUM(G57:G58)</f>
        <v>14.07</v>
      </c>
      <c r="M56" s="1"/>
      <c r="O56"/>
    </row>
    <row r="57" spans="1:15" x14ac:dyDescent="0.35">
      <c r="A57" s="322"/>
      <c r="C57" s="8" t="s">
        <v>763</v>
      </c>
      <c r="D57" s="275">
        <v>0</v>
      </c>
      <c r="E57" s="275">
        <v>0</v>
      </c>
      <c r="F57" s="275">
        <v>0</v>
      </c>
      <c r="G57" s="275">
        <f>SUM(Table13417[[#This Row],[El Limon Complex]:[Pan Mine]])</f>
        <v>0</v>
      </c>
      <c r="M57" s="1"/>
      <c r="O57"/>
    </row>
    <row r="58" spans="1:15" x14ac:dyDescent="0.35">
      <c r="A58" s="322"/>
      <c r="C58" s="8" t="s">
        <v>764</v>
      </c>
      <c r="D58" s="275">
        <v>0</v>
      </c>
      <c r="E58" s="275">
        <v>0</v>
      </c>
      <c r="F58" s="275">
        <v>14.07</v>
      </c>
      <c r="G58" s="275">
        <f>SUM(Table13417[[#This Row],[El Limon Complex]:[Pan Mine]])</f>
        <v>14.07</v>
      </c>
      <c r="M58" s="1"/>
      <c r="O58"/>
    </row>
    <row r="59" spans="1:15" x14ac:dyDescent="0.35">
      <c r="A59" s="322"/>
      <c r="C59" s="13" t="s">
        <v>774</v>
      </c>
      <c r="D59" s="283">
        <f t="shared" ref="D59" si="35">SUM(D60:D61)</f>
        <v>0</v>
      </c>
      <c r="E59" s="283">
        <f t="shared" ref="E59" si="36">SUM(E60:E61)</f>
        <v>0</v>
      </c>
      <c r="F59" s="283">
        <f t="shared" ref="F59" si="37">SUM(F60:F61)</f>
        <v>0</v>
      </c>
      <c r="G59" s="283">
        <f>SUM(Table13417[[#This Row],[El Limon Complex]:[Pan Mine]])</f>
        <v>0</v>
      </c>
      <c r="M59" s="1"/>
      <c r="O59"/>
    </row>
    <row r="60" spans="1:15" x14ac:dyDescent="0.35">
      <c r="A60" s="322"/>
      <c r="C60" s="8" t="s">
        <v>763</v>
      </c>
      <c r="D60" s="275">
        <v>0</v>
      </c>
      <c r="E60" s="275">
        <v>0</v>
      </c>
      <c r="F60" s="275">
        <v>0</v>
      </c>
      <c r="G60" s="275">
        <f>SUM(Table13417[[#This Row],[El Limon Complex]:[Pan Mine]])</f>
        <v>0</v>
      </c>
      <c r="M60" s="1"/>
      <c r="O60"/>
    </row>
    <row r="61" spans="1:15" x14ac:dyDescent="0.35">
      <c r="A61" s="322"/>
      <c r="C61" s="8" t="s">
        <v>764</v>
      </c>
      <c r="D61" s="275">
        <v>0</v>
      </c>
      <c r="E61" s="275">
        <v>0</v>
      </c>
      <c r="F61" s="275">
        <v>0</v>
      </c>
      <c r="G61" s="275">
        <f>SUM(Table13417[[#This Row],[El Limon Complex]:[Pan Mine]])</f>
        <v>0</v>
      </c>
      <c r="M61" s="1"/>
      <c r="O61"/>
    </row>
    <row r="62" spans="1:15" x14ac:dyDescent="0.35">
      <c r="A62" s="322"/>
      <c r="C62" s="31" t="s">
        <v>767</v>
      </c>
      <c r="D62" s="276">
        <f>SUM(D63+D66+D69+D72)</f>
        <v>343.62</v>
      </c>
      <c r="E62" s="276">
        <f t="shared" ref="E62:G62" si="38">SUM(E63+E66+E69+E72)</f>
        <v>321.77600000000001</v>
      </c>
      <c r="F62" s="276">
        <f t="shared" si="38"/>
        <v>215.25</v>
      </c>
      <c r="G62" s="276">
        <f t="shared" si="38"/>
        <v>880.64599999999996</v>
      </c>
      <c r="M62" s="1"/>
      <c r="O62"/>
    </row>
    <row r="63" spans="1:15" x14ac:dyDescent="0.35">
      <c r="A63" s="322"/>
      <c r="C63" s="13" t="s">
        <v>771</v>
      </c>
      <c r="D63" s="283">
        <f t="shared" ref="D63" si="39">SUM(D64:D65)</f>
        <v>0</v>
      </c>
      <c r="E63" s="283">
        <f t="shared" ref="E63" si="40">SUM(E64:E65)</f>
        <v>0</v>
      </c>
      <c r="F63" s="283">
        <f t="shared" ref="F63" si="41">SUM(F64:F65)</f>
        <v>0</v>
      </c>
      <c r="G63" s="283">
        <f>SUM(Table13417[[#This Row],[El Limon Complex]:[Pan Mine]])</f>
        <v>0</v>
      </c>
      <c r="M63" s="1"/>
      <c r="O63"/>
    </row>
    <row r="64" spans="1:15" x14ac:dyDescent="0.35">
      <c r="A64" s="322"/>
      <c r="C64" s="8" t="s">
        <v>763</v>
      </c>
      <c r="D64" s="275">
        <v>0</v>
      </c>
      <c r="E64" s="275">
        <v>0</v>
      </c>
      <c r="F64" s="275">
        <v>0</v>
      </c>
      <c r="G64" s="275">
        <f>SUM(Table13417[[#This Row],[El Limon Complex]:[Pan Mine]])</f>
        <v>0</v>
      </c>
      <c r="M64" s="1"/>
      <c r="O64"/>
    </row>
    <row r="65" spans="1:15" x14ac:dyDescent="0.35">
      <c r="A65" s="322"/>
      <c r="C65" s="8" t="s">
        <v>764</v>
      </c>
      <c r="D65" s="275">
        <v>0</v>
      </c>
      <c r="E65" s="275">
        <v>0</v>
      </c>
      <c r="F65" s="275">
        <v>0</v>
      </c>
      <c r="G65" s="275">
        <f>SUM(Table13417[[#This Row],[El Limon Complex]:[Pan Mine]])</f>
        <v>0</v>
      </c>
      <c r="M65" s="1"/>
      <c r="O65"/>
    </row>
    <row r="66" spans="1:15" x14ac:dyDescent="0.35">
      <c r="A66" s="322"/>
      <c r="C66" s="13" t="s">
        <v>772</v>
      </c>
      <c r="D66" s="283">
        <f t="shared" ref="D66" si="42">SUM(D67:D68)</f>
        <v>0</v>
      </c>
      <c r="E66" s="283">
        <f t="shared" ref="E66" si="43">SUM(E67:E68)</f>
        <v>0</v>
      </c>
      <c r="F66" s="283">
        <f t="shared" ref="F66" si="44">SUM(F67:F68)</f>
        <v>0</v>
      </c>
      <c r="G66" s="283">
        <f>SUM(Table13417[[#This Row],[El Limon Complex]:[Pan Mine]])</f>
        <v>0</v>
      </c>
      <c r="M66" s="1"/>
      <c r="O66"/>
    </row>
    <row r="67" spans="1:15" x14ac:dyDescent="0.35">
      <c r="A67" s="322"/>
      <c r="C67" s="8" t="s">
        <v>763</v>
      </c>
      <c r="D67" s="275">
        <v>0</v>
      </c>
      <c r="E67" s="275">
        <v>0</v>
      </c>
      <c r="F67" s="275">
        <v>0</v>
      </c>
      <c r="G67" s="275">
        <f>SUM(Table13417[[#This Row],[El Limon Complex]:[Pan Mine]])</f>
        <v>0</v>
      </c>
      <c r="M67" s="1"/>
      <c r="O67"/>
    </row>
    <row r="68" spans="1:15" x14ac:dyDescent="0.35">
      <c r="A68" s="322"/>
      <c r="C68" s="8" t="s">
        <v>764</v>
      </c>
      <c r="D68" s="275">
        <v>0</v>
      </c>
      <c r="E68" s="275">
        <v>0</v>
      </c>
      <c r="F68" s="275">
        <v>0</v>
      </c>
      <c r="G68" s="275">
        <f>SUM(Table13417[[#This Row],[El Limon Complex]:[Pan Mine]])</f>
        <v>0</v>
      </c>
      <c r="M68" s="1"/>
      <c r="O68"/>
    </row>
    <row r="69" spans="1:15" x14ac:dyDescent="0.35">
      <c r="A69" s="322"/>
      <c r="C69" s="13" t="s">
        <v>773</v>
      </c>
      <c r="D69" s="283">
        <f>SUM(D70:D71)</f>
        <v>343.62</v>
      </c>
      <c r="E69" s="283">
        <f t="shared" ref="E69" si="45">SUM(E70:E71)</f>
        <v>252.24</v>
      </c>
      <c r="F69" s="283">
        <f t="shared" ref="F69" si="46">SUM(F70:F71)</f>
        <v>215.25</v>
      </c>
      <c r="G69" s="283">
        <f>SUM(Table13417[[#This Row],[El Limon Complex]:[Pan Mine]])</f>
        <v>811.11</v>
      </c>
      <c r="M69" s="1"/>
      <c r="O69"/>
    </row>
    <row r="70" spans="1:15" x14ac:dyDescent="0.35">
      <c r="A70" s="322"/>
      <c r="C70" s="8" t="s">
        <v>763</v>
      </c>
      <c r="D70" s="275">
        <v>343.62</v>
      </c>
      <c r="E70" s="275">
        <v>252.24</v>
      </c>
      <c r="F70" s="275">
        <v>0</v>
      </c>
      <c r="G70" s="275">
        <f>SUM(Table13417[[#This Row],[El Limon Complex]:[Pan Mine]])</f>
        <v>595.86</v>
      </c>
      <c r="M70" s="1"/>
      <c r="O70"/>
    </row>
    <row r="71" spans="1:15" x14ac:dyDescent="0.35">
      <c r="A71" s="322"/>
      <c r="C71" s="8" t="s">
        <v>764</v>
      </c>
      <c r="D71" s="275">
        <v>0</v>
      </c>
      <c r="E71" s="275">
        <v>0</v>
      </c>
      <c r="F71" s="275">
        <v>215.25</v>
      </c>
      <c r="G71" s="275">
        <f>SUM(Table13417[[#This Row],[El Limon Complex]:[Pan Mine]])</f>
        <v>215.25</v>
      </c>
      <c r="M71" s="1"/>
      <c r="O71"/>
    </row>
    <row r="72" spans="1:15" x14ac:dyDescent="0.35">
      <c r="A72" s="322"/>
      <c r="C72" s="13" t="s">
        <v>774</v>
      </c>
      <c r="D72" s="283">
        <f t="shared" ref="D72" si="47">SUM(D73:D74)</f>
        <v>0</v>
      </c>
      <c r="E72" s="283">
        <f t="shared" ref="E72" si="48">SUM(E73:E74)</f>
        <v>69.536000000000001</v>
      </c>
      <c r="F72" s="283">
        <f t="shared" ref="F72" si="49">SUM(F73:F74)</f>
        <v>0</v>
      </c>
      <c r="G72" s="283">
        <f>SUM(Table13417[[#This Row],[El Limon Complex]:[Pan Mine]])</f>
        <v>69.536000000000001</v>
      </c>
      <c r="M72" s="1"/>
      <c r="O72"/>
    </row>
    <row r="73" spans="1:15" x14ac:dyDescent="0.35">
      <c r="A73" s="322"/>
      <c r="C73" s="8" t="s">
        <v>763</v>
      </c>
      <c r="D73" s="275">
        <v>0</v>
      </c>
      <c r="E73" s="275">
        <v>0</v>
      </c>
      <c r="F73" s="275">
        <v>0</v>
      </c>
      <c r="G73" s="275">
        <f>SUM(Table13417[[#This Row],[El Limon Complex]:[Pan Mine]])</f>
        <v>0</v>
      </c>
      <c r="M73" s="1"/>
      <c r="O73"/>
    </row>
    <row r="74" spans="1:15" x14ac:dyDescent="0.35">
      <c r="A74" s="322"/>
      <c r="C74" s="8" t="s">
        <v>764</v>
      </c>
      <c r="D74" s="275">
        <v>0</v>
      </c>
      <c r="E74" s="275">
        <v>69.536000000000001</v>
      </c>
      <c r="F74" s="275">
        <v>0</v>
      </c>
      <c r="G74" s="275">
        <f>SUM(Table13417[[#This Row],[El Limon Complex]:[Pan Mine]])</f>
        <v>69.536000000000001</v>
      </c>
      <c r="M74" s="1"/>
      <c r="O74"/>
    </row>
    <row r="75" spans="1:15" x14ac:dyDescent="0.35">
      <c r="A75" s="6"/>
    </row>
    <row r="76" spans="1:15" ht="27.75" customHeight="1" x14ac:dyDescent="0.35">
      <c r="A76" s="322" t="s">
        <v>775</v>
      </c>
      <c r="C76" s="93" t="s">
        <v>776</v>
      </c>
      <c r="D76" s="98" t="s">
        <v>777</v>
      </c>
      <c r="E76" s="93" t="s">
        <v>778</v>
      </c>
      <c r="F76" s="93" t="s">
        <v>779</v>
      </c>
      <c r="G76" s="98" t="s">
        <v>780</v>
      </c>
      <c r="H76" s="93" t="s">
        <v>781</v>
      </c>
    </row>
    <row r="77" spans="1:15" ht="26" x14ac:dyDescent="0.35">
      <c r="A77" s="322"/>
      <c r="C77" s="94" t="s">
        <v>782</v>
      </c>
      <c r="D77" s="95" t="s">
        <v>613</v>
      </c>
      <c r="E77" s="95" t="s">
        <v>613</v>
      </c>
      <c r="F77" s="95" t="s">
        <v>613</v>
      </c>
      <c r="G77" s="95" t="s">
        <v>783</v>
      </c>
      <c r="H77" s="95" t="s">
        <v>783</v>
      </c>
    </row>
    <row r="78" spans="1:15" x14ac:dyDescent="0.35">
      <c r="A78" s="322"/>
      <c r="C78" s="94" t="s">
        <v>784</v>
      </c>
      <c r="D78" s="95" t="s">
        <v>785</v>
      </c>
      <c r="E78" s="95" t="s">
        <v>785</v>
      </c>
      <c r="F78" s="95" t="s">
        <v>785</v>
      </c>
      <c r="G78" s="95" t="s">
        <v>785</v>
      </c>
      <c r="H78" s="95" t="s">
        <v>785</v>
      </c>
    </row>
    <row r="79" spans="1:15" x14ac:dyDescent="0.35">
      <c r="A79" s="322"/>
      <c r="C79" s="94" t="s">
        <v>786</v>
      </c>
      <c r="D79" s="95" t="s">
        <v>787</v>
      </c>
      <c r="E79" s="95" t="s">
        <v>788</v>
      </c>
      <c r="F79" s="95" t="s">
        <v>788</v>
      </c>
      <c r="G79" s="95" t="s">
        <v>787</v>
      </c>
      <c r="H79" s="95" t="s">
        <v>787</v>
      </c>
    </row>
    <row r="80" spans="1:15" x14ac:dyDescent="0.35">
      <c r="A80" s="322"/>
      <c r="C80" s="94" t="s">
        <v>789</v>
      </c>
      <c r="D80" s="95" t="s">
        <v>790</v>
      </c>
      <c r="E80" s="95" t="s">
        <v>790</v>
      </c>
      <c r="F80" s="95" t="s">
        <v>790</v>
      </c>
      <c r="G80" s="95" t="s">
        <v>790</v>
      </c>
      <c r="H80" s="95" t="s">
        <v>791</v>
      </c>
    </row>
    <row r="81" spans="1:8" x14ac:dyDescent="0.35">
      <c r="A81" s="322"/>
      <c r="C81" s="94" t="s">
        <v>792</v>
      </c>
      <c r="D81" s="96" t="s">
        <v>793</v>
      </c>
      <c r="E81" s="95" t="s">
        <v>794</v>
      </c>
      <c r="F81" s="95" t="s">
        <v>794</v>
      </c>
      <c r="G81" s="96" t="s">
        <v>795</v>
      </c>
      <c r="H81" s="96" t="s">
        <v>796</v>
      </c>
    </row>
    <row r="82" spans="1:8" ht="13.5" customHeight="1" x14ac:dyDescent="0.35">
      <c r="A82" s="322"/>
      <c r="C82" s="94" t="s">
        <v>797</v>
      </c>
      <c r="D82" s="96" t="s">
        <v>798</v>
      </c>
      <c r="E82" s="95" t="s">
        <v>794</v>
      </c>
      <c r="F82" s="95" t="s">
        <v>794</v>
      </c>
      <c r="G82" s="96" t="s">
        <v>799</v>
      </c>
      <c r="H82" s="96" t="s">
        <v>800</v>
      </c>
    </row>
    <row r="83" spans="1:8" x14ac:dyDescent="0.35">
      <c r="A83" s="322"/>
      <c r="C83" s="94" t="s">
        <v>801</v>
      </c>
      <c r="D83" s="95" t="s">
        <v>802</v>
      </c>
      <c r="E83" s="95" t="s">
        <v>794</v>
      </c>
      <c r="F83" s="95" t="s">
        <v>794</v>
      </c>
      <c r="G83" s="95" t="s">
        <v>803</v>
      </c>
      <c r="H83" s="95" t="s">
        <v>804</v>
      </c>
    </row>
    <row r="84" spans="1:8" x14ac:dyDescent="0.35">
      <c r="A84" s="322"/>
      <c r="C84" s="94" t="s">
        <v>805</v>
      </c>
      <c r="D84" s="97">
        <v>45231</v>
      </c>
      <c r="E84" s="97">
        <v>45261</v>
      </c>
      <c r="F84" s="97">
        <v>45261</v>
      </c>
      <c r="G84" s="97">
        <v>45231</v>
      </c>
      <c r="H84" s="97">
        <v>45261</v>
      </c>
    </row>
    <row r="85" spans="1:8" x14ac:dyDescent="0.35">
      <c r="A85" s="322"/>
      <c r="C85" s="94" t="s">
        <v>806</v>
      </c>
      <c r="D85" s="95" t="s">
        <v>664</v>
      </c>
      <c r="E85" s="95" t="s">
        <v>664</v>
      </c>
      <c r="F85" s="95" t="s">
        <v>664</v>
      </c>
      <c r="G85" s="95" t="s">
        <v>664</v>
      </c>
      <c r="H85" s="95" t="s">
        <v>664</v>
      </c>
    </row>
    <row r="86" spans="1:8" x14ac:dyDescent="0.35">
      <c r="A86" s="322"/>
      <c r="C86" s="94" t="s">
        <v>807</v>
      </c>
      <c r="D86" s="95" t="s">
        <v>726</v>
      </c>
      <c r="E86" s="95" t="s">
        <v>726</v>
      </c>
      <c r="F86" s="95" t="s">
        <v>726</v>
      </c>
      <c r="G86" s="95" t="s">
        <v>726</v>
      </c>
      <c r="H86" s="95" t="s">
        <v>726</v>
      </c>
    </row>
    <row r="87" spans="1:8" x14ac:dyDescent="0.35">
      <c r="A87" s="322"/>
      <c r="C87" s="94" t="s">
        <v>808</v>
      </c>
      <c r="D87" s="97">
        <v>45717</v>
      </c>
      <c r="E87" s="97" t="s">
        <v>809</v>
      </c>
      <c r="F87" s="97" t="s">
        <v>809</v>
      </c>
      <c r="G87" s="97">
        <v>45717</v>
      </c>
      <c r="H87" s="97">
        <v>45717</v>
      </c>
    </row>
    <row r="88" spans="1:8" x14ac:dyDescent="0.35">
      <c r="A88" s="322"/>
      <c r="C88" s="94" t="s">
        <v>810</v>
      </c>
      <c r="D88" s="95" t="s">
        <v>662</v>
      </c>
      <c r="E88" s="95" t="s">
        <v>662</v>
      </c>
      <c r="F88" s="95" t="s">
        <v>662</v>
      </c>
      <c r="G88" s="95" t="s">
        <v>662</v>
      </c>
      <c r="H88" s="95" t="s">
        <v>662</v>
      </c>
    </row>
    <row r="89" spans="1:8" x14ac:dyDescent="0.35">
      <c r="A89" s="70"/>
    </row>
  </sheetData>
  <mergeCells count="5">
    <mergeCell ref="C1:F1"/>
    <mergeCell ref="A24:A45"/>
    <mergeCell ref="A47:A74"/>
    <mergeCell ref="A76:A88"/>
    <mergeCell ref="A9:A22"/>
  </mergeCells>
  <hyperlinks>
    <hyperlink ref="C4" location="Waste_Generated" display="Waste Generated (t)" xr:uid="{8B7E1230-57FE-434F-9F3F-DF9424DDA277}"/>
    <hyperlink ref="C5" location="Non_Mineral_Waste_Diverted" display="Non-Mineral Waste Diverted from Disposal" xr:uid="{4C3BB1CA-76D3-4729-AF6F-D7D8234742F2}"/>
    <hyperlink ref="C6" location="Non_Mineral_Waste_Directed" display="Non-Mineral Waste Directed to Disposal" xr:uid="{DD401053-8B3F-401A-9965-10385797970C}"/>
    <hyperlink ref="C7" location="Tailings_Facilities_Inventory" display="Tailings Facilities Inventory" xr:uid="{B8862FA3-6C5D-4D70-9070-63B15285952E}"/>
    <hyperlink ref="G1" location="Tab_Menu" display=" Back to Menu" xr:uid="{D9B1A723-FC1B-486F-A910-D018F4A5A8CC}"/>
  </hyperlinks>
  <pageMargins left="0.7" right="0.7" top="0.75" bottom="0.75" header="0.3" footer="0.3"/>
  <legacyDrawing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DD32-C2F3-4EF8-BF80-7995F09B2452}">
  <dimension ref="A1:J64"/>
  <sheetViews>
    <sheetView showGridLines="0" zoomScaleNormal="100" workbookViewId="0">
      <pane xSplit="2" ySplit="10" topLeftCell="C11" activePane="bottomRight" state="frozen"/>
      <selection pane="topRight" activeCell="A77" sqref="A77:A83"/>
      <selection pane="bottomLeft" activeCell="A77" sqref="A77:A83"/>
      <selection pane="bottomRight" activeCell="C1" sqref="C1:F1"/>
    </sheetView>
  </sheetViews>
  <sheetFormatPr defaultRowHeight="14.5" x14ac:dyDescent="0.35"/>
  <cols>
    <col min="1" max="1" width="36.1796875" style="10" customWidth="1"/>
    <col min="2" max="2" width="4" style="5" customWidth="1"/>
    <col min="3" max="3" width="53.26953125" style="3" customWidth="1"/>
    <col min="4" max="4" width="28.54296875" style="3" customWidth="1"/>
    <col min="5" max="5" width="29.81640625" style="3" customWidth="1"/>
    <col min="6" max="6" width="23.7265625" style="3" customWidth="1"/>
    <col min="7" max="7" width="27.26953125" style="3" customWidth="1"/>
    <col min="8" max="8" width="14.26953125" style="3" bestFit="1" customWidth="1"/>
    <col min="9" max="10" width="9.1796875" style="1"/>
    <col min="11" max="11" width="12.7265625" bestFit="1" customWidth="1"/>
  </cols>
  <sheetData>
    <row r="1" spans="1:10" s="3" customFormat="1" ht="18.5" x14ac:dyDescent="0.35">
      <c r="A1" s="10" t="s">
        <v>811</v>
      </c>
      <c r="B1" s="5"/>
      <c r="C1" s="320" t="s">
        <v>812</v>
      </c>
      <c r="D1" s="320"/>
      <c r="E1" s="320"/>
      <c r="F1" s="320"/>
      <c r="G1" s="232" t="s">
        <v>153</v>
      </c>
      <c r="I1" s="1"/>
      <c r="J1" s="1"/>
    </row>
    <row r="2" spans="1:10" s="3" customFormat="1" ht="29.25" customHeight="1" x14ac:dyDescent="0.35">
      <c r="A2" s="10"/>
      <c r="B2" s="5"/>
      <c r="C2" s="319" t="s">
        <v>813</v>
      </c>
      <c r="D2" s="319"/>
      <c r="E2" s="319"/>
      <c r="F2" s="319"/>
      <c r="G2" s="319"/>
      <c r="I2" s="1"/>
      <c r="J2" s="1"/>
    </row>
    <row r="3" spans="1:10" s="3" customFormat="1" x14ac:dyDescent="0.35">
      <c r="A3" s="10"/>
      <c r="B3" s="5"/>
      <c r="C3" s="235" t="s">
        <v>606</v>
      </c>
      <c r="D3" s="133"/>
      <c r="E3" s="133"/>
      <c r="F3" s="133"/>
      <c r="G3" s="133"/>
      <c r="I3" s="1"/>
      <c r="J3" s="1"/>
    </row>
    <row r="4" spans="1:10" s="8" customFormat="1" ht="13" x14ac:dyDescent="0.35">
      <c r="A4" s="51"/>
      <c r="B4" s="50"/>
      <c r="C4" s="215" t="s">
        <v>814</v>
      </c>
    </row>
    <row r="5" spans="1:10" s="8" customFormat="1" ht="13" x14ac:dyDescent="0.35">
      <c r="A5" s="51"/>
      <c r="B5" s="50"/>
      <c r="C5" s="215" t="s">
        <v>90</v>
      </c>
    </row>
    <row r="6" spans="1:10" s="8" customFormat="1" ht="13" x14ac:dyDescent="0.35">
      <c r="A6" s="51"/>
      <c r="B6" s="50"/>
      <c r="C6" s="215" t="s">
        <v>815</v>
      </c>
    </row>
    <row r="7" spans="1:10" s="8" customFormat="1" ht="13" x14ac:dyDescent="0.35">
      <c r="A7" s="51"/>
      <c r="B7" s="50"/>
      <c r="C7" s="215" t="s">
        <v>816</v>
      </c>
    </row>
    <row r="8" spans="1:10" s="8" customFormat="1" ht="13" x14ac:dyDescent="0.35">
      <c r="A8" s="51"/>
      <c r="B8" s="50"/>
      <c r="C8" s="215" t="s">
        <v>96</v>
      </c>
    </row>
    <row r="9" spans="1:10" s="8" customFormat="1" ht="13" x14ac:dyDescent="0.35">
      <c r="A9" s="51"/>
      <c r="B9" s="50"/>
      <c r="C9" s="215" t="s">
        <v>817</v>
      </c>
    </row>
    <row r="10" spans="1:10" s="3" customFormat="1" x14ac:dyDescent="0.35">
      <c r="A10" s="10"/>
      <c r="B10" s="5"/>
      <c r="I10" s="1"/>
      <c r="J10" s="1"/>
    </row>
    <row r="11" spans="1:10" s="3" customFormat="1" ht="15.75" customHeight="1" x14ac:dyDescent="0.35">
      <c r="A11" s="322" t="s">
        <v>818</v>
      </c>
      <c r="B11" s="5"/>
      <c r="C11" s="3" t="s">
        <v>819</v>
      </c>
      <c r="D11" s="3" t="s">
        <v>608</v>
      </c>
      <c r="E11" s="3" t="s">
        <v>609</v>
      </c>
      <c r="F11" s="3" t="s">
        <v>610</v>
      </c>
      <c r="G11" s="3" t="s">
        <v>693</v>
      </c>
      <c r="I11" s="1"/>
      <c r="J11" s="1"/>
    </row>
    <row r="12" spans="1:10" s="10" customFormat="1" ht="15.75" customHeight="1" x14ac:dyDescent="0.35">
      <c r="A12" s="322"/>
      <c r="B12" s="5"/>
      <c r="C12" s="10" t="s">
        <v>820</v>
      </c>
      <c r="D12" s="78">
        <f>SUM(D23+D13)</f>
        <v>690395.59000000008</v>
      </c>
      <c r="E12" s="78">
        <f>SUM(E23+E13)</f>
        <v>1221519.6000000001</v>
      </c>
      <c r="F12" s="78">
        <f>SUM(F23+F13)</f>
        <v>370200.93</v>
      </c>
      <c r="G12" s="78">
        <f>SUM(Table1345[[#This Row],[El Limon Complex]:[Pan Mine]])</f>
        <v>2282116.12</v>
      </c>
      <c r="I12" s="33"/>
      <c r="J12" s="33"/>
    </row>
    <row r="13" spans="1:10" s="3" customFormat="1" x14ac:dyDescent="0.35">
      <c r="A13" s="322"/>
      <c r="B13" s="5"/>
      <c r="C13" s="31" t="s">
        <v>821</v>
      </c>
      <c r="D13" s="284">
        <f>SUM(D14+D18)</f>
        <v>439247.59</v>
      </c>
      <c r="E13" s="284">
        <f t="shared" ref="E13:F13" si="0">SUM(E14+E18)</f>
        <v>1062811.6000000001</v>
      </c>
      <c r="F13" s="284">
        <f t="shared" si="0"/>
        <v>370172</v>
      </c>
      <c r="G13" s="285">
        <f>SUM(Table1345[[#This Row],[El Limon Complex]:[Pan Mine]])</f>
        <v>1872231.1900000002</v>
      </c>
      <c r="I13" s="1"/>
      <c r="J13" s="1"/>
    </row>
    <row r="14" spans="1:10" s="3" customFormat="1" x14ac:dyDescent="0.35">
      <c r="A14" s="322"/>
      <c r="B14" s="5"/>
      <c r="C14" s="3" t="s">
        <v>822</v>
      </c>
      <c r="D14" s="179">
        <f>SUM(D15:D17)</f>
        <v>439247.59</v>
      </c>
      <c r="E14" s="179">
        <f t="shared" ref="E14:F14" si="1">SUM(E15:E17)</f>
        <v>1062811.6000000001</v>
      </c>
      <c r="F14" s="179">
        <f t="shared" si="1"/>
        <v>365378</v>
      </c>
      <c r="G14" s="78">
        <f>SUM(Table1345[[#This Row],[El Limon Complex]:[Pan Mine]])</f>
        <v>1867437.1900000002</v>
      </c>
      <c r="I14" s="1"/>
      <c r="J14" s="1"/>
    </row>
    <row r="15" spans="1:10" s="3" customFormat="1" x14ac:dyDescent="0.35">
      <c r="A15" s="322"/>
      <c r="B15" s="5"/>
      <c r="C15" s="8" t="s">
        <v>823</v>
      </c>
      <c r="D15" s="179">
        <v>439247.59</v>
      </c>
      <c r="E15" s="179">
        <v>1062811.6000000001</v>
      </c>
      <c r="F15" s="179">
        <v>365378</v>
      </c>
      <c r="G15" s="78">
        <f>SUM(Table1345[[#This Row],[El Limon Complex]:[Pan Mine]])</f>
        <v>1867437.1900000002</v>
      </c>
      <c r="I15" s="1"/>
      <c r="J15" s="1"/>
    </row>
    <row r="16" spans="1:10" s="3" customFormat="1" x14ac:dyDescent="0.35">
      <c r="A16" s="322"/>
      <c r="B16" s="5"/>
      <c r="C16" s="8" t="s">
        <v>824</v>
      </c>
      <c r="D16" s="179"/>
      <c r="E16" s="179"/>
      <c r="F16" s="179"/>
      <c r="G16" s="78">
        <f>SUM(Table1345[[#This Row],[El Limon Complex]:[Pan Mine]])</f>
        <v>0</v>
      </c>
      <c r="I16" s="1"/>
      <c r="J16" s="1"/>
    </row>
    <row r="17" spans="1:10" s="3" customFormat="1" x14ac:dyDescent="0.35">
      <c r="A17" s="322"/>
      <c r="B17" s="5"/>
      <c r="C17" s="8" t="s">
        <v>825</v>
      </c>
      <c r="D17" s="179"/>
      <c r="E17" s="179"/>
      <c r="F17" s="179"/>
      <c r="G17" s="78">
        <f>SUM(Table1345[[#This Row],[El Limon Complex]:[Pan Mine]])</f>
        <v>0</v>
      </c>
      <c r="I17" s="1"/>
      <c r="J17" s="1"/>
    </row>
    <row r="18" spans="1:10" s="3" customFormat="1" x14ac:dyDescent="0.35">
      <c r="A18" s="322"/>
      <c r="B18" s="5"/>
      <c r="C18" s="3" t="s">
        <v>826</v>
      </c>
      <c r="D18" s="179">
        <f>SUM(D19:D22)</f>
        <v>0</v>
      </c>
      <c r="E18" s="179">
        <f t="shared" ref="E18" si="2">SUM(E19:E22)</f>
        <v>0</v>
      </c>
      <c r="F18" s="179">
        <f>SUM(F19:F22)</f>
        <v>4794</v>
      </c>
      <c r="G18" s="78">
        <f>SUM(Table1345[[#This Row],[El Limon Complex]:[Pan Mine]])</f>
        <v>4794</v>
      </c>
      <c r="I18" s="1"/>
      <c r="J18" s="1"/>
    </row>
    <row r="19" spans="1:10" s="3" customFormat="1" x14ac:dyDescent="0.35">
      <c r="A19" s="322"/>
      <c r="B19" s="5"/>
      <c r="C19" s="8" t="s">
        <v>827</v>
      </c>
      <c r="D19" s="179"/>
      <c r="E19" s="179"/>
      <c r="F19" s="179">
        <v>4794</v>
      </c>
      <c r="G19" s="78">
        <f>SUM(Table1345[[#This Row],[El Limon Complex]:[Pan Mine]])</f>
        <v>4794</v>
      </c>
      <c r="I19" s="1"/>
      <c r="J19" s="1"/>
    </row>
    <row r="20" spans="1:10" s="3" customFormat="1" x14ac:dyDescent="0.35">
      <c r="A20" s="322"/>
      <c r="B20" s="5"/>
      <c r="C20" s="8" t="s">
        <v>828</v>
      </c>
      <c r="D20" s="179"/>
      <c r="E20" s="179"/>
      <c r="F20" s="179"/>
      <c r="G20" s="78">
        <f>SUM(Table1345[[#This Row],[El Limon Complex]:[Pan Mine]])</f>
        <v>0</v>
      </c>
      <c r="I20" s="1"/>
      <c r="J20" s="1"/>
    </row>
    <row r="21" spans="1:10" s="3" customFormat="1" x14ac:dyDescent="0.35">
      <c r="A21" s="322"/>
      <c r="B21" s="5"/>
      <c r="C21" s="8" t="s">
        <v>829</v>
      </c>
      <c r="D21" s="179"/>
      <c r="E21" s="179"/>
      <c r="F21" s="179"/>
      <c r="G21" s="78">
        <f>SUM(Table1345[[#This Row],[El Limon Complex]:[Pan Mine]])</f>
        <v>0</v>
      </c>
      <c r="I21" s="1"/>
      <c r="J21" s="1"/>
    </row>
    <row r="22" spans="1:10" s="3" customFormat="1" x14ac:dyDescent="0.35">
      <c r="A22" s="322"/>
      <c r="B22" s="5"/>
      <c r="C22" s="8" t="s">
        <v>830</v>
      </c>
      <c r="D22" s="179"/>
      <c r="E22" s="179"/>
      <c r="F22" s="179"/>
      <c r="G22" s="78">
        <f>SUM(Table1345[[#This Row],[El Limon Complex]:[Pan Mine]])</f>
        <v>0</v>
      </c>
      <c r="I22" s="1"/>
      <c r="J22" s="1"/>
    </row>
    <row r="23" spans="1:10" s="3" customFormat="1" x14ac:dyDescent="0.35">
      <c r="A23" s="322"/>
      <c r="B23" s="5"/>
      <c r="C23" s="31" t="s">
        <v>831</v>
      </c>
      <c r="D23" s="284">
        <f>SUM(D24:D25)</f>
        <v>251148</v>
      </c>
      <c r="E23" s="284">
        <f t="shared" ref="E23:G23" si="3">SUM(E24:E25)</f>
        <v>158708</v>
      </c>
      <c r="F23" s="284">
        <f t="shared" si="3"/>
        <v>28.93</v>
      </c>
      <c r="G23" s="284">
        <f t="shared" si="3"/>
        <v>409884.93</v>
      </c>
      <c r="I23" s="1"/>
      <c r="J23" s="1"/>
    </row>
    <row r="24" spans="1:10" s="3" customFormat="1" x14ac:dyDescent="0.35">
      <c r="A24" s="322"/>
      <c r="B24" s="5"/>
      <c r="C24" s="3" t="s">
        <v>832</v>
      </c>
      <c r="D24" s="179">
        <v>251148</v>
      </c>
      <c r="E24" s="179">
        <v>158708</v>
      </c>
      <c r="F24" s="179"/>
      <c r="G24" s="78">
        <f>SUM(Table1345[[#This Row],[El Limon Complex]:[Pan Mine]])</f>
        <v>409856</v>
      </c>
      <c r="I24" s="1"/>
      <c r="J24" s="1"/>
    </row>
    <row r="25" spans="1:10" s="3" customFormat="1" x14ac:dyDescent="0.35">
      <c r="A25" s="322"/>
      <c r="B25" s="5"/>
      <c r="C25" s="3" t="s">
        <v>833</v>
      </c>
      <c r="D25" s="179"/>
      <c r="E25" s="179"/>
      <c r="F25" s="179">
        <v>28.93</v>
      </c>
      <c r="G25" s="78">
        <f>SUM(Table1345[[#This Row],[El Limon Complex]:[Pan Mine]])</f>
        <v>28.93</v>
      </c>
      <c r="I25" s="1"/>
      <c r="J25" s="1"/>
    </row>
    <row r="26" spans="1:10" s="3" customFormat="1" ht="30" customHeight="1" x14ac:dyDescent="0.35">
      <c r="A26" s="69"/>
      <c r="B26" s="5"/>
      <c r="C26" s="319" t="s">
        <v>834</v>
      </c>
      <c r="D26" s="319"/>
      <c r="E26" s="319"/>
      <c r="F26" s="319"/>
      <c r="G26" s="319"/>
      <c r="I26" s="1"/>
      <c r="J26" s="1"/>
    </row>
    <row r="27" spans="1:10" x14ac:dyDescent="0.35">
      <c r="A27" s="51"/>
    </row>
    <row r="28" spans="1:10" x14ac:dyDescent="0.35">
      <c r="A28" s="322" t="s">
        <v>835</v>
      </c>
      <c r="C28" s="3" t="s">
        <v>836</v>
      </c>
      <c r="D28" s="3" t="s">
        <v>608</v>
      </c>
      <c r="E28" s="3" t="s">
        <v>609</v>
      </c>
      <c r="F28" s="3" t="s">
        <v>610</v>
      </c>
      <c r="G28" s="3" t="s">
        <v>693</v>
      </c>
    </row>
    <row r="29" spans="1:10" x14ac:dyDescent="0.35">
      <c r="A29" s="322"/>
      <c r="C29" s="3" t="s">
        <v>837</v>
      </c>
      <c r="D29" s="35">
        <f>D12</f>
        <v>690395.59000000008</v>
      </c>
      <c r="E29" s="35">
        <f>E12</f>
        <v>1221519.6000000001</v>
      </c>
      <c r="F29" s="35">
        <f>F12</f>
        <v>370200.93</v>
      </c>
      <c r="G29" s="35">
        <f>SUM(Table13456[[#This Row],[El Limon Complex]:[Pan Mine]])</f>
        <v>2282116.12</v>
      </c>
    </row>
    <row r="30" spans="1:10" x14ac:dyDescent="0.35">
      <c r="A30" s="322"/>
      <c r="C30" s="3" t="s">
        <v>838</v>
      </c>
      <c r="D30" s="35">
        <v>69549</v>
      </c>
      <c r="E30" s="35">
        <v>137671</v>
      </c>
      <c r="F30" s="35">
        <v>35267</v>
      </c>
      <c r="G30" s="35">
        <f>SUM(Table13456[[#This Row],[El Limon Complex]:[Pan Mine]])</f>
        <v>242487</v>
      </c>
    </row>
    <row r="31" spans="1:10" s="34" customFormat="1" x14ac:dyDescent="0.35">
      <c r="A31" s="322"/>
      <c r="B31" s="5"/>
      <c r="C31" s="3" t="s">
        <v>839</v>
      </c>
      <c r="D31" s="38">
        <f>D29/D30</f>
        <v>9.9267507800255945</v>
      </c>
      <c r="E31" s="38">
        <f t="shared" ref="E31:G31" si="4">E29/E30</f>
        <v>8.8727444414582592</v>
      </c>
      <c r="F31" s="38">
        <f t="shared" si="4"/>
        <v>10.49709161539116</v>
      </c>
      <c r="G31" s="38">
        <f t="shared" si="4"/>
        <v>9.4112926466161078</v>
      </c>
      <c r="H31" s="10"/>
      <c r="I31" s="33"/>
      <c r="J31" s="33"/>
    </row>
    <row r="32" spans="1:10" ht="17.25" customHeight="1" x14ac:dyDescent="0.35">
      <c r="A32" s="51"/>
    </row>
    <row r="33" spans="1:10" x14ac:dyDescent="0.35">
      <c r="A33" s="322" t="s">
        <v>840</v>
      </c>
      <c r="C33" s="3" t="s">
        <v>841</v>
      </c>
      <c r="D33" s="3" t="s">
        <v>608</v>
      </c>
      <c r="E33" s="3" t="s">
        <v>609</v>
      </c>
      <c r="F33" s="3" t="s">
        <v>610</v>
      </c>
      <c r="G33" s="3" t="s">
        <v>693</v>
      </c>
    </row>
    <row r="34" spans="1:10" ht="19.5" customHeight="1" x14ac:dyDescent="0.35">
      <c r="A34" s="322"/>
      <c r="C34" s="3" t="s">
        <v>842</v>
      </c>
      <c r="D34" s="35">
        <v>24851</v>
      </c>
      <c r="E34" s="35">
        <v>74569</v>
      </c>
      <c r="F34" s="35">
        <v>23838</v>
      </c>
      <c r="G34" s="35">
        <f>SUM(Table134567[[#This Row],[El Limon Complex]:[Pan Mine]])</f>
        <v>123258</v>
      </c>
    </row>
    <row r="35" spans="1:10" ht="42" customHeight="1" x14ac:dyDescent="0.35">
      <c r="A35" s="69"/>
      <c r="C35" s="319" t="s">
        <v>843</v>
      </c>
      <c r="D35" s="319"/>
      <c r="E35" s="319"/>
      <c r="F35" s="319"/>
      <c r="G35" s="319"/>
    </row>
    <row r="36" spans="1:10" x14ac:dyDescent="0.35">
      <c r="A36" s="69"/>
    </row>
    <row r="37" spans="1:10" x14ac:dyDescent="0.35">
      <c r="A37" s="322" t="s">
        <v>844</v>
      </c>
      <c r="C37" s="3" t="s">
        <v>845</v>
      </c>
      <c r="D37" s="3" t="s">
        <v>608</v>
      </c>
      <c r="E37" s="3" t="s">
        <v>609</v>
      </c>
      <c r="F37" s="3" t="s">
        <v>610</v>
      </c>
      <c r="G37" s="3" t="s">
        <v>693</v>
      </c>
    </row>
    <row r="38" spans="1:10" x14ac:dyDescent="0.35">
      <c r="A38" s="322"/>
      <c r="C38" s="3" t="s">
        <v>846</v>
      </c>
      <c r="D38" s="35">
        <v>20789</v>
      </c>
      <c r="E38" s="35">
        <v>13137</v>
      </c>
      <c r="F38" s="35">
        <v>2313</v>
      </c>
      <c r="G38" s="35">
        <f>SUM(Table13456727[[#This Row],[El Limon Complex]:[Pan Mine]])</f>
        <v>36239</v>
      </c>
    </row>
    <row r="39" spans="1:10" x14ac:dyDescent="0.35">
      <c r="A39" s="322"/>
      <c r="C39" s="3" t="s">
        <v>847</v>
      </c>
      <c r="D39" s="35">
        <v>0</v>
      </c>
      <c r="E39" s="35">
        <v>0</v>
      </c>
      <c r="F39" s="35">
        <v>2313</v>
      </c>
      <c r="G39" s="35">
        <f>SUM(Table13456727[[#This Row],[El Limon Complex]:[Pan Mine]])</f>
        <v>2313</v>
      </c>
    </row>
    <row r="40" spans="1:10" ht="30" customHeight="1" x14ac:dyDescent="0.35">
      <c r="A40" s="69"/>
      <c r="C40" s="319" t="s">
        <v>848</v>
      </c>
      <c r="D40" s="319"/>
      <c r="E40" s="319"/>
      <c r="F40" s="319"/>
      <c r="G40" s="319"/>
    </row>
    <row r="41" spans="1:10" x14ac:dyDescent="0.35">
      <c r="A41" s="24"/>
    </row>
    <row r="42" spans="1:10" x14ac:dyDescent="0.35">
      <c r="A42" s="322" t="s">
        <v>849</v>
      </c>
      <c r="C42" s="3" t="s">
        <v>850</v>
      </c>
      <c r="D42" s="3" t="s">
        <v>608</v>
      </c>
      <c r="E42" s="3" t="s">
        <v>609</v>
      </c>
      <c r="F42" s="3" t="s">
        <v>610</v>
      </c>
      <c r="G42" s="3" t="s">
        <v>693</v>
      </c>
    </row>
    <row r="43" spans="1:10" x14ac:dyDescent="0.35">
      <c r="A43" s="322"/>
      <c r="C43" s="3" t="s">
        <v>851</v>
      </c>
      <c r="D43" s="35" cm="1">
        <f t="array" ref="D43">SUM(Table134567[El Limon Complex]+D39)</f>
        <v>24851</v>
      </c>
      <c r="E43" s="35" cm="1">
        <f t="array" ref="E43">SUM(Table134567[La Libertad Complex]+E39)</f>
        <v>74569</v>
      </c>
      <c r="F43" s="35" cm="1">
        <f t="array" ref="F43">SUM(Table134567[Pan Mine]+F39)</f>
        <v>26151</v>
      </c>
      <c r="G43" s="35" cm="1">
        <f t="array" ref="G43">SUM(Table134567[Calibre]+G39)</f>
        <v>125571</v>
      </c>
    </row>
    <row r="44" spans="1:10" x14ac:dyDescent="0.35">
      <c r="A44" s="322"/>
      <c r="C44" s="3" t="s">
        <v>838</v>
      </c>
      <c r="D44" s="35">
        <v>69549</v>
      </c>
      <c r="E44" s="35">
        <v>137671</v>
      </c>
      <c r="F44" s="35">
        <v>35267</v>
      </c>
      <c r="G44" s="35">
        <f>SUM(Table134567831[[#This Row],[El Limon Complex]:[Pan Mine]])</f>
        <v>242487</v>
      </c>
      <c r="I44"/>
      <c r="J44"/>
    </row>
    <row r="45" spans="1:10" x14ac:dyDescent="0.35">
      <c r="A45" s="322"/>
      <c r="C45" s="3" t="s">
        <v>852</v>
      </c>
      <c r="D45" s="38">
        <f>D43/D44</f>
        <v>0.35731642439143624</v>
      </c>
      <c r="E45" s="38">
        <f t="shared" ref="E45" si="5">E43/E44</f>
        <v>0.54164638885458816</v>
      </c>
      <c r="F45" s="38">
        <f>F43/F44</f>
        <v>0.74151473048458905</v>
      </c>
      <c r="G45" s="38">
        <f t="shared" ref="G45" si="6">G43/G44</f>
        <v>0.51784631753454824</v>
      </c>
      <c r="I45"/>
      <c r="J45"/>
    </row>
    <row r="46" spans="1:10" x14ac:dyDescent="0.35">
      <c r="A46" s="51"/>
      <c r="I46"/>
      <c r="J46"/>
    </row>
    <row r="47" spans="1:10" ht="18.75" customHeight="1" x14ac:dyDescent="0.35">
      <c r="A47" s="321" t="s">
        <v>853</v>
      </c>
      <c r="C47" s="216" t="s">
        <v>854</v>
      </c>
      <c r="D47" s="216" t="s">
        <v>608</v>
      </c>
      <c r="E47" s="216" t="s">
        <v>855</v>
      </c>
      <c r="F47" s="216" t="s">
        <v>610</v>
      </c>
      <c r="H47" s="1"/>
      <c r="J47"/>
    </row>
    <row r="48" spans="1:10" x14ac:dyDescent="0.35">
      <c r="A48" s="321"/>
      <c r="C48" s="94" t="s">
        <v>856</v>
      </c>
      <c r="D48" s="94" t="s">
        <v>857</v>
      </c>
      <c r="E48" s="217">
        <f>0.2404/1000</f>
        <v>2.4040000000000002E-4</v>
      </c>
      <c r="F48" s="217">
        <v>148.80000000000001</v>
      </c>
      <c r="H48" s="1"/>
      <c r="J48"/>
    </row>
    <row r="49" spans="1:10" ht="16" x14ac:dyDescent="0.35">
      <c r="A49" s="321"/>
      <c r="C49" s="94" t="s">
        <v>858</v>
      </c>
      <c r="D49" s="94" t="s">
        <v>857</v>
      </c>
      <c r="E49" s="217">
        <f>41.3856/1000</f>
        <v>4.1385599999999995E-2</v>
      </c>
      <c r="F49" s="217"/>
      <c r="H49" s="1"/>
      <c r="J49"/>
    </row>
    <row r="50" spans="1:10" ht="16" x14ac:dyDescent="0.35">
      <c r="A50" s="321"/>
      <c r="C50" s="94" t="s">
        <v>859</v>
      </c>
      <c r="D50" s="94" t="s">
        <v>857</v>
      </c>
      <c r="E50" s="217">
        <v>0</v>
      </c>
      <c r="F50" s="217" t="s">
        <v>726</v>
      </c>
      <c r="H50" s="1"/>
      <c r="J50"/>
    </row>
    <row r="51" spans="1:10" x14ac:dyDescent="0.35">
      <c r="A51" s="321"/>
      <c r="C51" s="94" t="s">
        <v>860</v>
      </c>
      <c r="D51" s="94" t="s">
        <v>857</v>
      </c>
      <c r="E51" s="217">
        <f>0.0021/1000</f>
        <v>2.0999999999999998E-6</v>
      </c>
      <c r="F51" s="217"/>
      <c r="H51" s="1"/>
      <c r="J51"/>
    </row>
    <row r="52" spans="1:10" x14ac:dyDescent="0.35">
      <c r="A52" s="321"/>
      <c r="C52" s="94" t="s">
        <v>861</v>
      </c>
      <c r="D52" s="94" t="s">
        <v>857</v>
      </c>
      <c r="E52" s="217" t="s">
        <v>862</v>
      </c>
      <c r="F52" s="217">
        <v>0.66</v>
      </c>
      <c r="H52" s="1"/>
      <c r="J52"/>
    </row>
    <row r="53" spans="1:10" x14ac:dyDescent="0.35">
      <c r="A53" s="321"/>
      <c r="C53" s="94" t="s">
        <v>863</v>
      </c>
      <c r="D53" s="94" t="s">
        <v>857</v>
      </c>
      <c r="E53" s="217">
        <v>0</v>
      </c>
      <c r="F53" s="217">
        <v>1.17E-3</v>
      </c>
      <c r="H53" s="1"/>
      <c r="J53"/>
    </row>
    <row r="54" spans="1:10" ht="16" x14ac:dyDescent="0.35">
      <c r="A54" s="321"/>
      <c r="C54" s="94" t="s">
        <v>864</v>
      </c>
      <c r="D54" s="94" t="s">
        <v>857</v>
      </c>
      <c r="E54" s="217">
        <f>0.0082/1000</f>
        <v>8.2000000000000011E-6</v>
      </c>
      <c r="F54" s="217"/>
      <c r="H54" s="1"/>
      <c r="J54"/>
    </row>
    <row r="55" spans="1:10" ht="16" x14ac:dyDescent="0.35">
      <c r="A55" s="321"/>
      <c r="C55" s="94" t="s">
        <v>865</v>
      </c>
      <c r="D55" s="94" t="s">
        <v>857</v>
      </c>
      <c r="E55" s="217" t="s">
        <v>862</v>
      </c>
      <c r="F55" s="217" t="s">
        <v>866</v>
      </c>
      <c r="H55" s="1"/>
      <c r="J55"/>
    </row>
    <row r="56" spans="1:10" ht="16" x14ac:dyDescent="0.35">
      <c r="A56" s="321"/>
      <c r="C56" s="94" t="s">
        <v>867</v>
      </c>
      <c r="D56" s="94" t="s">
        <v>857</v>
      </c>
      <c r="E56" s="217">
        <f>2.8433/1000</f>
        <v>2.8433E-3</v>
      </c>
      <c r="F56" s="217"/>
      <c r="H56" s="1"/>
      <c r="J56"/>
    </row>
    <row r="57" spans="1:10" ht="16" x14ac:dyDescent="0.35">
      <c r="A57" s="321"/>
      <c r="C57" s="94" t="s">
        <v>868</v>
      </c>
      <c r="D57" s="94" t="s">
        <v>857</v>
      </c>
      <c r="E57" s="217">
        <f>1.3008/1000</f>
        <v>1.3008E-3</v>
      </c>
      <c r="F57" s="217" t="s">
        <v>726</v>
      </c>
      <c r="H57" s="1"/>
      <c r="J57"/>
    </row>
    <row r="58" spans="1:10" x14ac:dyDescent="0.35">
      <c r="A58" s="321"/>
      <c r="C58" s="94" t="s">
        <v>869</v>
      </c>
      <c r="D58" s="94" t="s">
        <v>857</v>
      </c>
      <c r="E58" s="217">
        <v>0</v>
      </c>
      <c r="F58" s="217">
        <v>0</v>
      </c>
      <c r="H58" s="1"/>
      <c r="J58"/>
    </row>
    <row r="59" spans="1:10" ht="16" x14ac:dyDescent="0.35">
      <c r="A59" s="321"/>
      <c r="C59" s="94" t="s">
        <v>870</v>
      </c>
      <c r="D59" s="94" t="s">
        <v>857</v>
      </c>
      <c r="E59" s="217" t="s">
        <v>862</v>
      </c>
      <c r="F59" s="217">
        <v>29.7</v>
      </c>
      <c r="H59" s="1"/>
      <c r="J59"/>
    </row>
    <row r="60" spans="1:10" ht="16" x14ac:dyDescent="0.35">
      <c r="A60" s="321"/>
      <c r="C60" s="94" t="s">
        <v>871</v>
      </c>
      <c r="D60" s="94" t="s">
        <v>857</v>
      </c>
      <c r="E60" s="217">
        <f>2.1757/1000</f>
        <v>2.1757E-3</v>
      </c>
      <c r="F60" s="217">
        <v>3.01</v>
      </c>
      <c r="G60" s="1"/>
      <c r="H60" s="1"/>
      <c r="I60"/>
      <c r="J60"/>
    </row>
    <row r="61" spans="1:10" ht="16" x14ac:dyDescent="0.35">
      <c r="A61" s="321"/>
      <c r="C61" s="94" t="s">
        <v>872</v>
      </c>
      <c r="D61" s="94" t="s">
        <v>857</v>
      </c>
      <c r="E61" s="217" t="s">
        <v>862</v>
      </c>
      <c r="F61" s="217" t="s">
        <v>726</v>
      </c>
      <c r="G61" s="1"/>
      <c r="H61" s="1"/>
      <c r="I61"/>
      <c r="J61"/>
    </row>
    <row r="62" spans="1:10" x14ac:dyDescent="0.35">
      <c r="A62" s="321"/>
      <c r="C62" s="94" t="s">
        <v>873</v>
      </c>
      <c r="D62" s="94" t="s">
        <v>857</v>
      </c>
      <c r="E62" s="217" t="s">
        <v>862</v>
      </c>
      <c r="F62" s="217">
        <v>25.4</v>
      </c>
      <c r="G62" s="1"/>
      <c r="H62" s="1"/>
      <c r="I62"/>
      <c r="J62"/>
    </row>
    <row r="63" spans="1:10" ht="35.25" customHeight="1" x14ac:dyDescent="0.35">
      <c r="A63" s="321"/>
      <c r="C63" s="324" t="s">
        <v>874</v>
      </c>
      <c r="D63" s="324"/>
      <c r="E63" s="324"/>
      <c r="F63" s="324"/>
      <c r="G63" s="227"/>
      <c r="H63" s="1"/>
      <c r="J63"/>
    </row>
    <row r="64" spans="1:10" ht="18.75" customHeight="1" x14ac:dyDescent="0.35"/>
  </sheetData>
  <mergeCells count="12">
    <mergeCell ref="C1:F1"/>
    <mergeCell ref="A11:A25"/>
    <mergeCell ref="C63:F63"/>
    <mergeCell ref="A47:A63"/>
    <mergeCell ref="A28:A31"/>
    <mergeCell ref="C2:G2"/>
    <mergeCell ref="A42:A45"/>
    <mergeCell ref="A33:A34"/>
    <mergeCell ref="A37:A39"/>
    <mergeCell ref="C26:G26"/>
    <mergeCell ref="C35:G35"/>
    <mergeCell ref="C40:G40"/>
  </mergeCells>
  <hyperlinks>
    <hyperlink ref="C4" location="Energy_Consumption" display="Energy Consumption" xr:uid="{6D15E8B3-0ED0-406A-AE05-95852FE1B609}"/>
    <hyperlink ref="C5" location="Energy_Intensity" display="Energy Intensity" xr:uid="{8112FD42-7D06-4ED3-8FA8-B6FD064AC43A}"/>
    <hyperlink ref="C6" location="Scope_1_GHG_Emissions" display="Scope 1 GHG Emissions" xr:uid="{A6C6D4B1-2C45-4316-9C63-5B1B2F5FE7A0}"/>
    <hyperlink ref="C7" location="Scope_2_GHG_Emissions" display="Scope 2 GHG Emissions" xr:uid="{9EFBE0BB-D35A-404D-A8C6-79B0CBDA45E1}"/>
    <hyperlink ref="C8" location="Total_GHG_Emissions___Intensity_Rate" display="Total GHG Emissions &amp; Intensity Rate" xr:uid="{B6940F9C-3EE3-4082-A738-632B096390B0}"/>
    <hyperlink ref="C9" location="Significant_Air_Emissions" display="Significant Air Emissions" xr:uid="{CBE66AB5-38F7-4682-9754-5294811CE208}"/>
    <hyperlink ref="G1" location="Tab_Menu" display=" Back to Menu" xr:uid="{7640DAF9-2FB3-4C90-9700-38EC28EB4A3E}"/>
  </hyperlinks>
  <pageMargins left="0.7" right="0.7" top="0.75" bottom="0.75" header="0.3" footer="0.3"/>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7400-4C23-4B22-85DD-9CDA739C7882}">
  <dimension ref="A1:O85"/>
  <sheetViews>
    <sheetView showGridLines="0" zoomScaleNormal="100" workbookViewId="0">
      <pane xSplit="2" ySplit="11" topLeftCell="C12" activePane="bottomRight" state="frozen"/>
      <selection pane="topRight" activeCell="C30" sqref="C30:G30"/>
      <selection pane="bottomLeft" activeCell="C30" sqref="C30:G30"/>
      <selection pane="bottomRight" activeCell="C50" sqref="C50:F50"/>
    </sheetView>
  </sheetViews>
  <sheetFormatPr defaultRowHeight="14.5" x14ac:dyDescent="0.35"/>
  <cols>
    <col min="1" max="1" width="27.54296875" style="5" customWidth="1"/>
    <col min="2" max="2" width="4" style="4" customWidth="1"/>
    <col min="3" max="3" width="53.26953125" style="3" customWidth="1"/>
    <col min="4" max="4" width="33.81640625" style="3" customWidth="1"/>
    <col min="5" max="5" width="19.81640625" style="3" bestFit="1" customWidth="1"/>
    <col min="6" max="6" width="17.453125" style="3" customWidth="1"/>
    <col min="7" max="7" width="16.7265625" style="3" customWidth="1"/>
    <col min="8" max="8" width="20.1796875" style="3" customWidth="1"/>
    <col min="9" max="9" width="16.1796875" style="3" customWidth="1"/>
    <col min="10" max="10" width="16" style="3" customWidth="1"/>
    <col min="11" max="11" width="13.81640625" style="3" customWidth="1"/>
    <col min="12" max="13" width="9.1796875" style="3"/>
    <col min="14" max="15" width="9.1796875" style="1"/>
  </cols>
  <sheetData>
    <row r="1" spans="1:13" ht="24" customHeight="1" x14ac:dyDescent="0.35">
      <c r="A1" s="5" t="s">
        <v>811</v>
      </c>
      <c r="C1" s="320" t="s">
        <v>875</v>
      </c>
      <c r="D1" s="320"/>
      <c r="E1" s="320"/>
      <c r="F1" s="320"/>
      <c r="G1" s="320"/>
      <c r="H1" s="320"/>
      <c r="I1" s="320"/>
      <c r="J1" s="232" t="s">
        <v>153</v>
      </c>
    </row>
    <row r="2" spans="1:13" ht="18.5" x14ac:dyDescent="0.35">
      <c r="C2" s="135"/>
      <c r="D2" s="135"/>
      <c r="E2" s="135"/>
      <c r="F2" s="135"/>
      <c r="G2" s="135"/>
      <c r="H2" s="135"/>
      <c r="I2" s="135"/>
      <c r="J2" s="128"/>
    </row>
    <row r="3" spans="1:13" ht="18.5" x14ac:dyDescent="0.35">
      <c r="C3" s="235" t="s">
        <v>606</v>
      </c>
      <c r="D3" s="135"/>
      <c r="E3" s="135"/>
      <c r="F3" s="135"/>
      <c r="G3" s="135"/>
      <c r="H3" s="135"/>
      <c r="I3" s="135"/>
      <c r="J3" s="128"/>
    </row>
    <row r="4" spans="1:13" ht="15" customHeight="1" x14ac:dyDescent="0.35">
      <c r="C4" s="219" t="s">
        <v>876</v>
      </c>
      <c r="D4" s="135"/>
      <c r="E4" s="135"/>
      <c r="F4" s="135"/>
      <c r="G4" s="135"/>
      <c r="H4" s="135"/>
      <c r="I4" s="135"/>
      <c r="J4" s="128"/>
    </row>
    <row r="5" spans="1:13" ht="14.25" customHeight="1" x14ac:dyDescent="0.35">
      <c r="C5" s="219" t="s">
        <v>102</v>
      </c>
      <c r="D5" s="135"/>
      <c r="E5" s="135"/>
      <c r="F5" s="135"/>
      <c r="G5" s="135"/>
      <c r="H5" s="135"/>
      <c r="I5" s="135"/>
      <c r="J5" s="128"/>
    </row>
    <row r="6" spans="1:13" ht="15" customHeight="1" x14ac:dyDescent="0.35">
      <c r="C6" s="219" t="s">
        <v>877</v>
      </c>
      <c r="D6" s="135"/>
      <c r="E6" s="135"/>
      <c r="F6" s="135"/>
      <c r="G6" s="135"/>
      <c r="H6" s="135"/>
      <c r="I6" s="135"/>
      <c r="J6" s="128"/>
    </row>
    <row r="7" spans="1:13" ht="15" customHeight="1" x14ac:dyDescent="0.35">
      <c r="C7" s="219" t="s">
        <v>106</v>
      </c>
      <c r="D7" s="135"/>
      <c r="E7" s="135"/>
      <c r="F7" s="135"/>
      <c r="G7" s="135"/>
      <c r="H7" s="135"/>
      <c r="I7" s="135"/>
      <c r="J7" s="128"/>
    </row>
    <row r="8" spans="1:13" ht="15.75" customHeight="1" x14ac:dyDescent="0.35">
      <c r="C8" s="219" t="s">
        <v>108</v>
      </c>
      <c r="D8" s="135"/>
      <c r="E8" s="135"/>
      <c r="F8" s="135"/>
      <c r="G8" s="135"/>
      <c r="H8" s="135"/>
      <c r="I8" s="135"/>
      <c r="J8" s="128"/>
    </row>
    <row r="9" spans="1:13" ht="15" customHeight="1" x14ac:dyDescent="0.35">
      <c r="C9" s="219" t="s">
        <v>110</v>
      </c>
      <c r="D9" s="135"/>
      <c r="E9" s="135"/>
      <c r="F9" s="135"/>
      <c r="G9" s="135"/>
      <c r="H9" s="135"/>
      <c r="I9" s="135"/>
      <c r="J9" s="128"/>
    </row>
    <row r="10" spans="1:13" ht="14.25" customHeight="1" x14ac:dyDescent="0.35">
      <c r="C10" s="219" t="s">
        <v>878</v>
      </c>
      <c r="D10" s="135"/>
      <c r="E10" s="135"/>
      <c r="F10" s="135"/>
      <c r="G10" s="135"/>
      <c r="H10" s="135"/>
      <c r="I10" s="135"/>
      <c r="J10" s="128"/>
    </row>
    <row r="11" spans="1:13" x14ac:dyDescent="0.35">
      <c r="F11" s="297"/>
      <c r="G11" s="297"/>
      <c r="H11" s="297"/>
      <c r="I11" s="297"/>
      <c r="J11" s="297"/>
      <c r="K11" s="297"/>
      <c r="L11" s="297"/>
      <c r="M11" s="297"/>
    </row>
    <row r="12" spans="1:13" x14ac:dyDescent="0.35">
      <c r="A12" s="325" t="s">
        <v>879</v>
      </c>
      <c r="C12" s="3" t="s">
        <v>880</v>
      </c>
      <c r="D12" s="3" t="s">
        <v>881</v>
      </c>
      <c r="E12" s="3" t="s">
        <v>882</v>
      </c>
    </row>
    <row r="13" spans="1:13" x14ac:dyDescent="0.35">
      <c r="A13" s="325"/>
      <c r="C13" s="31" t="s">
        <v>883</v>
      </c>
      <c r="D13" s="31">
        <f t="shared" ref="D13" si="0">SUM(D14:D15)</f>
        <v>4004</v>
      </c>
      <c r="E13" s="180">
        <f>Table11[[#This Row],[Number]]/Table11[[#This Row],[Number]]</f>
        <v>1</v>
      </c>
    </row>
    <row r="14" spans="1:13" x14ac:dyDescent="0.35">
      <c r="A14" s="325"/>
      <c r="C14" s="3" t="s">
        <v>884</v>
      </c>
      <c r="D14" s="3">
        <v>1133</v>
      </c>
      <c r="E14" s="181">
        <f>Table11[[#This Row],[Number]]/D13</f>
        <v>0.28296703296703296</v>
      </c>
    </row>
    <row r="15" spans="1:13" x14ac:dyDescent="0.35">
      <c r="A15" s="325"/>
      <c r="C15" s="3" t="s">
        <v>885</v>
      </c>
      <c r="D15" s="3">
        <v>2871</v>
      </c>
      <c r="E15" s="181">
        <f>Table11[[#This Row],[Number]]/D13</f>
        <v>0.71703296703296704</v>
      </c>
    </row>
    <row r="16" spans="1:13" x14ac:dyDescent="0.35">
      <c r="A16" s="50"/>
    </row>
    <row r="17" spans="1:10" x14ac:dyDescent="0.35">
      <c r="A17" s="50"/>
      <c r="E17" s="238" t="s">
        <v>886</v>
      </c>
      <c r="F17" s="239"/>
      <c r="G17" s="238" t="s">
        <v>887</v>
      </c>
      <c r="H17" s="248"/>
      <c r="I17" s="248"/>
      <c r="J17" s="239"/>
    </row>
    <row r="18" spans="1:10" x14ac:dyDescent="0.35">
      <c r="A18" s="325" t="s">
        <v>888</v>
      </c>
      <c r="C18" s="21" t="s">
        <v>889</v>
      </c>
      <c r="D18" s="21" t="s">
        <v>883</v>
      </c>
      <c r="E18" s="240" t="s">
        <v>890</v>
      </c>
      <c r="F18" s="241" t="s">
        <v>891</v>
      </c>
      <c r="G18" s="240" t="s">
        <v>892</v>
      </c>
      <c r="H18" s="21" t="s">
        <v>893</v>
      </c>
      <c r="I18" s="21" t="s">
        <v>894</v>
      </c>
      <c r="J18" s="241" t="s">
        <v>895</v>
      </c>
    </row>
    <row r="19" spans="1:10" x14ac:dyDescent="0.35">
      <c r="A19" s="325"/>
      <c r="C19" s="31" t="s">
        <v>883</v>
      </c>
      <c r="D19" s="32">
        <v>1133</v>
      </c>
      <c r="E19" s="242">
        <v>964</v>
      </c>
      <c r="F19" s="243">
        <v>169</v>
      </c>
      <c r="G19" s="242">
        <v>890</v>
      </c>
      <c r="H19" s="236">
        <v>189</v>
      </c>
      <c r="I19" s="236">
        <v>1079</v>
      </c>
      <c r="J19" s="243">
        <v>54</v>
      </c>
    </row>
    <row r="20" spans="1:10" x14ac:dyDescent="0.35">
      <c r="A20" s="325"/>
      <c r="C20" s="29" t="s">
        <v>896</v>
      </c>
      <c r="D20" s="30">
        <v>1095</v>
      </c>
      <c r="E20" s="244">
        <v>932</v>
      </c>
      <c r="F20" s="245">
        <v>163</v>
      </c>
      <c r="G20" s="244">
        <v>861</v>
      </c>
      <c r="H20" s="237">
        <v>179</v>
      </c>
      <c r="I20" s="237">
        <v>1040</v>
      </c>
      <c r="J20" s="245">
        <v>55</v>
      </c>
    </row>
    <row r="21" spans="1:10" x14ac:dyDescent="0.35">
      <c r="A21" s="325"/>
      <c r="C21" s="29" t="s">
        <v>897</v>
      </c>
      <c r="D21" s="30">
        <v>38</v>
      </c>
      <c r="E21" s="244">
        <v>32</v>
      </c>
      <c r="F21" s="245">
        <v>6</v>
      </c>
      <c r="G21" s="244">
        <v>29</v>
      </c>
      <c r="H21" s="237">
        <v>9</v>
      </c>
      <c r="I21" s="237">
        <v>38</v>
      </c>
      <c r="J21" s="245">
        <v>0</v>
      </c>
    </row>
    <row r="22" spans="1:10" x14ac:dyDescent="0.35">
      <c r="A22" s="325"/>
      <c r="C22" s="29" t="s">
        <v>898</v>
      </c>
      <c r="D22" s="30">
        <v>0</v>
      </c>
      <c r="E22" s="244">
        <v>0</v>
      </c>
      <c r="F22" s="245">
        <v>0</v>
      </c>
      <c r="G22" s="244">
        <v>0</v>
      </c>
      <c r="H22" s="237">
        <v>0</v>
      </c>
      <c r="I22" s="237">
        <v>0</v>
      </c>
      <c r="J22" s="245">
        <v>0</v>
      </c>
    </row>
    <row r="23" spans="1:10" x14ac:dyDescent="0.35">
      <c r="A23" s="325"/>
      <c r="C23" s="29" t="s">
        <v>899</v>
      </c>
      <c r="D23" s="30">
        <v>1133</v>
      </c>
      <c r="E23" s="244">
        <v>964</v>
      </c>
      <c r="F23" s="245">
        <v>169</v>
      </c>
      <c r="G23" s="244">
        <v>890</v>
      </c>
      <c r="H23" s="237">
        <v>189</v>
      </c>
      <c r="I23" s="237">
        <v>1079</v>
      </c>
      <c r="J23" s="245">
        <v>54</v>
      </c>
    </row>
    <row r="24" spans="1:10" x14ac:dyDescent="0.35">
      <c r="A24" s="325"/>
      <c r="C24" s="29" t="s">
        <v>900</v>
      </c>
      <c r="D24" s="30">
        <v>0</v>
      </c>
      <c r="E24" s="246">
        <v>0</v>
      </c>
      <c r="F24" s="247">
        <v>0</v>
      </c>
      <c r="G24" s="246">
        <v>0</v>
      </c>
      <c r="H24" s="249">
        <v>0</v>
      </c>
      <c r="I24" s="249">
        <v>0</v>
      </c>
      <c r="J24" s="247">
        <v>0</v>
      </c>
    </row>
    <row r="25" spans="1:10" ht="72.75" customHeight="1" x14ac:dyDescent="0.35">
      <c r="A25" s="325"/>
      <c r="C25" s="297" t="s">
        <v>901</v>
      </c>
      <c r="D25" s="297"/>
      <c r="E25" s="297"/>
      <c r="F25" s="297"/>
      <c r="G25" s="297"/>
      <c r="H25" s="297"/>
      <c r="I25" s="297"/>
      <c r="J25" s="297"/>
    </row>
    <row r="26" spans="1:10" x14ac:dyDescent="0.35">
      <c r="A26" s="51"/>
      <c r="C26" s="25"/>
      <c r="D26" s="25"/>
      <c r="E26" s="25"/>
      <c r="F26" s="25"/>
      <c r="G26" s="25"/>
      <c r="H26" s="25"/>
      <c r="I26" s="25"/>
      <c r="J26" s="25"/>
    </row>
    <row r="27" spans="1:10" x14ac:dyDescent="0.35">
      <c r="A27" s="325" t="s">
        <v>902</v>
      </c>
      <c r="C27" s="21" t="s">
        <v>903</v>
      </c>
      <c r="D27" s="21" t="s">
        <v>660</v>
      </c>
      <c r="E27" s="25"/>
      <c r="F27" s="25"/>
      <c r="G27" s="25"/>
      <c r="H27" s="25"/>
      <c r="I27" s="25"/>
      <c r="J27" s="25"/>
    </row>
    <row r="28" spans="1:10" x14ac:dyDescent="0.35">
      <c r="A28" s="325"/>
      <c r="C28" s="29" t="s">
        <v>881</v>
      </c>
      <c r="D28" s="29">
        <v>2871</v>
      </c>
      <c r="E28" s="25"/>
      <c r="F28" s="25"/>
      <c r="G28" s="25"/>
      <c r="H28" s="25"/>
      <c r="I28" s="25"/>
      <c r="J28" s="25"/>
    </row>
    <row r="29" spans="1:10" ht="39" x14ac:dyDescent="0.35">
      <c r="A29" s="325"/>
      <c r="C29" s="29" t="s">
        <v>904</v>
      </c>
      <c r="D29" s="29" t="s">
        <v>905</v>
      </c>
      <c r="E29" s="25"/>
      <c r="F29" s="25"/>
      <c r="G29" s="25"/>
      <c r="H29" s="25"/>
      <c r="I29" s="25"/>
      <c r="J29" s="25"/>
    </row>
    <row r="30" spans="1:10" ht="117" x14ac:dyDescent="0.35">
      <c r="A30" s="325"/>
      <c r="C30" s="29" t="s">
        <v>906</v>
      </c>
      <c r="D30" s="29" t="s">
        <v>907</v>
      </c>
      <c r="E30" s="25"/>
      <c r="F30" s="25"/>
      <c r="G30" s="25"/>
      <c r="H30" s="25"/>
      <c r="I30" s="25"/>
      <c r="J30" s="25"/>
    </row>
    <row r="31" spans="1:10" ht="26" x14ac:dyDescent="0.35">
      <c r="A31" s="325"/>
      <c r="C31" s="29" t="s">
        <v>908</v>
      </c>
      <c r="D31" s="29" t="s">
        <v>909</v>
      </c>
      <c r="E31" s="25"/>
      <c r="F31" s="25"/>
      <c r="G31" s="25"/>
      <c r="H31" s="25"/>
      <c r="I31" s="25"/>
      <c r="J31" s="25"/>
    </row>
    <row r="32" spans="1:10" ht="52" x14ac:dyDescent="0.35">
      <c r="A32" s="325"/>
      <c r="C32" s="29" t="s">
        <v>910</v>
      </c>
      <c r="D32" s="29" t="s">
        <v>911</v>
      </c>
      <c r="E32" s="25"/>
      <c r="F32" s="25"/>
      <c r="G32" s="25"/>
      <c r="H32" s="25"/>
      <c r="I32" s="25"/>
      <c r="J32" s="25"/>
    </row>
    <row r="33" spans="1:15" x14ac:dyDescent="0.35">
      <c r="A33" s="51"/>
      <c r="C33" s="25"/>
      <c r="D33" s="25"/>
      <c r="E33" s="25"/>
      <c r="F33" s="25"/>
      <c r="G33" s="25"/>
      <c r="H33" s="25"/>
      <c r="I33" s="25"/>
      <c r="J33" s="25"/>
    </row>
    <row r="34" spans="1:15" x14ac:dyDescent="0.35">
      <c r="A34" s="50"/>
      <c r="C34" s="26"/>
      <c r="D34" s="250" t="s">
        <v>886</v>
      </c>
      <c r="E34" s="251"/>
      <c r="F34" s="250" t="s">
        <v>912</v>
      </c>
      <c r="G34" s="260"/>
      <c r="H34" s="251"/>
      <c r="I34" s="27"/>
      <c r="J34" s="27"/>
    </row>
    <row r="35" spans="1:15" ht="15.75" customHeight="1" x14ac:dyDescent="0.35">
      <c r="A35" s="321" t="s">
        <v>913</v>
      </c>
      <c r="C35" s="3" t="s">
        <v>914</v>
      </c>
      <c r="D35" s="252" t="s">
        <v>890</v>
      </c>
      <c r="E35" s="253" t="s">
        <v>891</v>
      </c>
      <c r="F35" s="252" t="s">
        <v>915</v>
      </c>
      <c r="G35" s="3" t="s">
        <v>916</v>
      </c>
      <c r="H35" s="253" t="s">
        <v>917</v>
      </c>
      <c r="K35" s="1"/>
      <c r="L35" s="1"/>
      <c r="M35"/>
      <c r="N35"/>
      <c r="O35"/>
    </row>
    <row r="36" spans="1:15" x14ac:dyDescent="0.35">
      <c r="A36" s="321"/>
      <c r="C36" s="10" t="s">
        <v>918</v>
      </c>
      <c r="D36" s="254">
        <v>0.85</v>
      </c>
      <c r="E36" s="255">
        <v>0.15</v>
      </c>
      <c r="F36" s="261">
        <v>0.08</v>
      </c>
      <c r="G36" s="46">
        <v>0.75</v>
      </c>
      <c r="H36" s="262">
        <v>0.17</v>
      </c>
      <c r="K36" s="1"/>
      <c r="L36" s="1"/>
      <c r="M36"/>
      <c r="N36"/>
      <c r="O36"/>
    </row>
    <row r="37" spans="1:15" x14ac:dyDescent="0.35">
      <c r="A37" s="321"/>
      <c r="C37" s="3" t="s">
        <v>919</v>
      </c>
      <c r="D37" s="256">
        <v>1</v>
      </c>
      <c r="E37" s="257">
        <v>0</v>
      </c>
      <c r="F37" s="263">
        <v>0</v>
      </c>
      <c r="G37" s="11">
        <v>0</v>
      </c>
      <c r="H37" s="264">
        <v>1</v>
      </c>
      <c r="K37" s="1"/>
      <c r="L37" s="1"/>
      <c r="M37"/>
      <c r="N37"/>
      <c r="O37"/>
    </row>
    <row r="38" spans="1:15" x14ac:dyDescent="0.35">
      <c r="A38" s="321"/>
      <c r="C38" s="3" t="s">
        <v>920</v>
      </c>
      <c r="D38" s="256">
        <v>0.75</v>
      </c>
      <c r="E38" s="257">
        <v>0.25</v>
      </c>
      <c r="F38" s="263">
        <v>0</v>
      </c>
      <c r="G38" s="11">
        <v>0.625</v>
      </c>
      <c r="H38" s="264">
        <v>0.375</v>
      </c>
      <c r="K38" s="1"/>
      <c r="L38" s="1"/>
      <c r="M38"/>
      <c r="N38"/>
      <c r="O38"/>
    </row>
    <row r="39" spans="1:15" x14ac:dyDescent="0.35">
      <c r="A39" s="321"/>
      <c r="C39" s="3" t="s">
        <v>921</v>
      </c>
      <c r="D39" s="256">
        <v>0.8666666666666667</v>
      </c>
      <c r="E39" s="257">
        <v>0.13333333333333333</v>
      </c>
      <c r="F39" s="263">
        <v>0</v>
      </c>
      <c r="G39" s="11">
        <v>0.6333333333333333</v>
      </c>
      <c r="H39" s="264">
        <v>0.36666666666666664</v>
      </c>
      <c r="K39" s="1"/>
      <c r="L39" s="1"/>
      <c r="M39"/>
      <c r="N39"/>
      <c r="O39"/>
    </row>
    <row r="40" spans="1:15" x14ac:dyDescent="0.35">
      <c r="A40" s="321"/>
      <c r="C40" s="3" t="s">
        <v>922</v>
      </c>
      <c r="D40" s="256">
        <v>0.85496183206106868</v>
      </c>
      <c r="E40" s="257">
        <v>0.14503816793893129</v>
      </c>
      <c r="F40" s="263">
        <v>5.3435114503816793E-2</v>
      </c>
      <c r="G40" s="11">
        <v>0.74045801526717558</v>
      </c>
      <c r="H40" s="264">
        <v>0.20610687022900764</v>
      </c>
      <c r="K40" s="1"/>
      <c r="L40" s="1"/>
      <c r="M40"/>
      <c r="N40"/>
      <c r="O40"/>
    </row>
    <row r="41" spans="1:15" x14ac:dyDescent="0.35">
      <c r="A41" s="50"/>
      <c r="C41" s="3" t="s">
        <v>923</v>
      </c>
      <c r="D41" s="258">
        <v>0.84873949579831931</v>
      </c>
      <c r="E41" s="259">
        <v>0.15126050420168066</v>
      </c>
      <c r="F41" s="265">
        <v>9.3487394957983194E-2</v>
      </c>
      <c r="G41" s="266">
        <v>0.76155462184873945</v>
      </c>
      <c r="H41" s="267">
        <v>0.14495798319327732</v>
      </c>
    </row>
    <row r="42" spans="1:15" ht="30" customHeight="1" x14ac:dyDescent="0.35">
      <c r="A42" s="50"/>
      <c r="C42" s="319" t="s">
        <v>924</v>
      </c>
      <c r="D42" s="319"/>
      <c r="E42" s="319"/>
      <c r="F42" s="319"/>
      <c r="G42" s="319"/>
      <c r="H42" s="319"/>
    </row>
    <row r="43" spans="1:15" x14ac:dyDescent="0.35">
      <c r="A43" s="50"/>
    </row>
    <row r="44" spans="1:15" ht="27.75" customHeight="1" x14ac:dyDescent="0.35">
      <c r="A44" s="321" t="s">
        <v>925</v>
      </c>
      <c r="C44" s="3" t="s">
        <v>926</v>
      </c>
      <c r="D44" s="3" t="s">
        <v>608</v>
      </c>
      <c r="E44" s="3" t="s">
        <v>609</v>
      </c>
      <c r="F44" s="3" t="s">
        <v>610</v>
      </c>
      <c r="K44" s="1"/>
      <c r="L44" s="1"/>
      <c r="M44"/>
      <c r="N44"/>
      <c r="O44"/>
    </row>
    <row r="45" spans="1:15" x14ac:dyDescent="0.35">
      <c r="A45" s="321"/>
      <c r="C45" s="3" t="s">
        <v>927</v>
      </c>
      <c r="D45" s="43" t="s">
        <v>726</v>
      </c>
      <c r="E45" s="43" t="s">
        <v>726</v>
      </c>
      <c r="F45" s="43" t="s">
        <v>726</v>
      </c>
      <c r="K45" s="1"/>
      <c r="L45" s="1"/>
      <c r="M45"/>
      <c r="N45"/>
      <c r="O45"/>
    </row>
    <row r="46" spans="1:15" x14ac:dyDescent="0.35">
      <c r="A46" s="321"/>
      <c r="C46" s="3" t="s">
        <v>920</v>
      </c>
      <c r="D46" s="43">
        <v>0.65</v>
      </c>
      <c r="E46" s="43">
        <v>0.41857399201669904</v>
      </c>
      <c r="F46" s="43" t="s">
        <v>726</v>
      </c>
      <c r="K46" s="1"/>
      <c r="L46" s="1"/>
      <c r="M46"/>
      <c r="N46"/>
      <c r="O46"/>
    </row>
    <row r="47" spans="1:15" x14ac:dyDescent="0.35">
      <c r="A47" s="321"/>
      <c r="C47" s="3" t="s">
        <v>921</v>
      </c>
      <c r="D47" s="43">
        <v>0.69845894698504474</v>
      </c>
      <c r="E47" s="43">
        <v>0.40040768782760633</v>
      </c>
      <c r="F47" s="43">
        <v>0.96</v>
      </c>
      <c r="K47" s="1"/>
      <c r="L47" s="1"/>
      <c r="M47"/>
      <c r="N47"/>
      <c r="O47"/>
    </row>
    <row r="48" spans="1:15" x14ac:dyDescent="0.35">
      <c r="A48" s="321"/>
      <c r="C48" s="3" t="s">
        <v>922</v>
      </c>
      <c r="D48" s="43">
        <v>0.79695097739270815</v>
      </c>
      <c r="E48" s="43">
        <v>0.81477470145155229</v>
      </c>
      <c r="F48" s="43">
        <v>0.92</v>
      </c>
      <c r="K48" s="1"/>
      <c r="L48" s="1"/>
      <c r="M48"/>
      <c r="N48"/>
      <c r="O48"/>
    </row>
    <row r="49" spans="1:15" x14ac:dyDescent="0.35">
      <c r="A49" s="321"/>
      <c r="C49" s="3" t="s">
        <v>923</v>
      </c>
      <c r="D49" s="43">
        <v>1.0912090865003137</v>
      </c>
      <c r="E49" s="43">
        <v>0.92535685285030911</v>
      </c>
      <c r="F49" s="43">
        <v>0.75</v>
      </c>
      <c r="K49" s="1"/>
      <c r="L49" s="1"/>
      <c r="M49"/>
      <c r="N49"/>
      <c r="O49"/>
    </row>
    <row r="50" spans="1:15" ht="27.75" customHeight="1" x14ac:dyDescent="0.35">
      <c r="A50" s="51"/>
      <c r="C50" s="319" t="s">
        <v>928</v>
      </c>
      <c r="D50" s="319"/>
      <c r="E50" s="319"/>
      <c r="F50" s="319"/>
      <c r="K50" s="1"/>
      <c r="L50" s="1"/>
      <c r="M50"/>
      <c r="N50"/>
      <c r="O50"/>
    </row>
    <row r="51" spans="1:15" x14ac:dyDescent="0.35">
      <c r="A51" s="50"/>
    </row>
    <row r="52" spans="1:15" x14ac:dyDescent="0.35">
      <c r="A52" s="321" t="s">
        <v>929</v>
      </c>
      <c r="C52" s="3" t="s">
        <v>930</v>
      </c>
      <c r="D52" s="3" t="s">
        <v>931</v>
      </c>
      <c r="E52" s="3" t="s">
        <v>932</v>
      </c>
      <c r="K52" s="1"/>
      <c r="L52" s="1"/>
      <c r="M52"/>
      <c r="N52"/>
      <c r="O52"/>
    </row>
    <row r="53" spans="1:15" x14ac:dyDescent="0.35">
      <c r="A53" s="321"/>
      <c r="C53" s="44" t="s">
        <v>933</v>
      </c>
      <c r="D53" s="44">
        <v>90</v>
      </c>
      <c r="E53" s="53">
        <f>Table134101114242730[[#This Row],[Total Number]]/1133</f>
        <v>7.9435127978817299E-2</v>
      </c>
      <c r="K53" s="1"/>
      <c r="L53" s="1"/>
      <c r="M53"/>
      <c r="N53"/>
      <c r="O53"/>
    </row>
    <row r="54" spans="1:15" x14ac:dyDescent="0.35">
      <c r="A54" s="321"/>
      <c r="C54" s="3" t="s">
        <v>934</v>
      </c>
      <c r="E54" s="54"/>
      <c r="K54" s="1"/>
      <c r="L54" s="1"/>
      <c r="M54"/>
      <c r="N54"/>
      <c r="O54"/>
    </row>
    <row r="55" spans="1:15" x14ac:dyDescent="0.35">
      <c r="A55" s="321"/>
      <c r="C55" s="41" t="s">
        <v>935</v>
      </c>
      <c r="D55" s="3">
        <v>22</v>
      </c>
      <c r="E55" s="54">
        <f>Table134101114242730[[#This Row],[Total Number]]/1133</f>
        <v>1.9417475728155338E-2</v>
      </c>
      <c r="K55" s="1"/>
      <c r="L55" s="1"/>
      <c r="M55"/>
      <c r="N55"/>
      <c r="O55"/>
    </row>
    <row r="56" spans="1:15" x14ac:dyDescent="0.35">
      <c r="A56" s="321"/>
      <c r="C56" s="41" t="s">
        <v>936</v>
      </c>
      <c r="D56" s="3">
        <v>54</v>
      </c>
      <c r="E56" s="54">
        <f>Table134101114242730[[#This Row],[Total Number]]/1133</f>
        <v>4.7661076787290382E-2</v>
      </c>
      <c r="K56" s="1"/>
      <c r="L56" s="1"/>
      <c r="M56"/>
      <c r="N56"/>
      <c r="O56"/>
    </row>
    <row r="57" spans="1:15" x14ac:dyDescent="0.35">
      <c r="A57" s="321"/>
      <c r="C57" s="41" t="s">
        <v>937</v>
      </c>
      <c r="D57" s="3">
        <v>14</v>
      </c>
      <c r="E57" s="54">
        <f>Table134101114242730[[#This Row],[Total Number]]/1133</f>
        <v>1.2356575463371581E-2</v>
      </c>
      <c r="K57" s="1"/>
      <c r="L57" s="1"/>
      <c r="M57"/>
      <c r="N57"/>
      <c r="O57"/>
    </row>
    <row r="58" spans="1:15" x14ac:dyDescent="0.35">
      <c r="A58" s="321"/>
      <c r="C58" s="3" t="s">
        <v>938</v>
      </c>
      <c r="E58" s="54"/>
      <c r="K58" s="1"/>
      <c r="L58" s="1"/>
      <c r="M58"/>
      <c r="N58"/>
      <c r="O58"/>
    </row>
    <row r="59" spans="1:15" x14ac:dyDescent="0.35">
      <c r="A59" s="321"/>
      <c r="C59" s="41" t="s">
        <v>890</v>
      </c>
      <c r="D59" s="3">
        <v>9</v>
      </c>
      <c r="E59" s="54">
        <f>Table134101114242730[[#This Row],[Total Number]]/1133</f>
        <v>7.9435127978817292E-3</v>
      </c>
      <c r="K59" s="1"/>
      <c r="L59" s="1"/>
      <c r="M59"/>
      <c r="N59"/>
      <c r="O59"/>
    </row>
    <row r="60" spans="1:15" x14ac:dyDescent="0.35">
      <c r="A60" s="321"/>
      <c r="C60" s="41" t="s">
        <v>891</v>
      </c>
      <c r="D60" s="3">
        <v>81</v>
      </c>
      <c r="E60" s="54">
        <f>Table134101114242730[[#This Row],[Total Number]]/1133</f>
        <v>7.1491615180935567E-2</v>
      </c>
      <c r="K60" s="1"/>
      <c r="L60" s="1"/>
      <c r="M60"/>
      <c r="N60"/>
      <c r="O60"/>
    </row>
    <row r="61" spans="1:15" x14ac:dyDescent="0.35">
      <c r="A61" s="321"/>
      <c r="C61" s="3" t="s">
        <v>939</v>
      </c>
      <c r="E61" s="54"/>
      <c r="K61" s="1"/>
      <c r="L61" s="1"/>
      <c r="M61"/>
      <c r="N61"/>
      <c r="O61"/>
    </row>
    <row r="62" spans="1:15" x14ac:dyDescent="0.35">
      <c r="A62" s="321"/>
      <c r="C62" s="41" t="s">
        <v>940</v>
      </c>
      <c r="D62" s="3">
        <v>47</v>
      </c>
      <c r="E62" s="54">
        <f>Table134101114242730[[#This Row],[Total Number]]/1133</f>
        <v>4.1482789055604589E-2</v>
      </c>
      <c r="K62" s="1"/>
      <c r="L62" s="1"/>
      <c r="M62"/>
      <c r="N62"/>
      <c r="O62"/>
    </row>
    <row r="63" spans="1:15" x14ac:dyDescent="0.35">
      <c r="A63" s="321"/>
      <c r="C63" s="41" t="s">
        <v>941</v>
      </c>
      <c r="D63" s="3">
        <v>24</v>
      </c>
      <c r="E63" s="54">
        <f>Table134101114242730[[#This Row],[Total Number]]/1133</f>
        <v>2.1182700794351281E-2</v>
      </c>
      <c r="K63" s="1"/>
      <c r="L63" s="1"/>
      <c r="M63"/>
      <c r="N63"/>
      <c r="O63"/>
    </row>
    <row r="64" spans="1:15" x14ac:dyDescent="0.35">
      <c r="A64" s="321"/>
      <c r="C64" s="41" t="s">
        <v>895</v>
      </c>
      <c r="D64" s="3">
        <v>19</v>
      </c>
      <c r="E64" s="54">
        <f>Table134101114242730[[#This Row],[Total Number]]/1133</f>
        <v>1.6769638128861428E-2</v>
      </c>
      <c r="K64" s="1"/>
      <c r="L64" s="1"/>
      <c r="M64"/>
      <c r="N64"/>
      <c r="O64"/>
    </row>
    <row r="65" spans="1:15" x14ac:dyDescent="0.35">
      <c r="A65" s="321"/>
      <c r="C65" s="44" t="s">
        <v>942</v>
      </c>
      <c r="D65" s="44">
        <v>87</v>
      </c>
      <c r="E65" s="53">
        <f>Table134101114242730[[#This Row],[Total Number]]/1133</f>
        <v>7.6787290379523393E-2</v>
      </c>
      <c r="K65" s="1"/>
      <c r="L65" s="1"/>
      <c r="M65"/>
      <c r="N65"/>
      <c r="O65"/>
    </row>
    <row r="66" spans="1:15" s="3" customFormat="1" x14ac:dyDescent="0.3">
      <c r="A66" s="321"/>
      <c r="B66" s="4"/>
      <c r="C66" s="3" t="s">
        <v>934</v>
      </c>
      <c r="E66" s="54"/>
      <c r="K66" s="1"/>
      <c r="L66" s="1"/>
    </row>
    <row r="67" spans="1:15" s="3" customFormat="1" x14ac:dyDescent="0.3">
      <c r="A67" s="321"/>
      <c r="B67" s="4"/>
      <c r="C67" s="41" t="s">
        <v>935</v>
      </c>
      <c r="D67" s="3">
        <v>7</v>
      </c>
      <c r="E67" s="54">
        <f>Table134101114242730[[#This Row],[Total Number]]/1133</f>
        <v>6.1782877316857903E-3</v>
      </c>
      <c r="K67" s="1"/>
      <c r="L67" s="1"/>
    </row>
    <row r="68" spans="1:15" s="3" customFormat="1" x14ac:dyDescent="0.3">
      <c r="A68" s="321"/>
      <c r="B68" s="4"/>
      <c r="C68" s="41" t="s">
        <v>936</v>
      </c>
      <c r="D68" s="3">
        <v>51</v>
      </c>
      <c r="E68" s="54">
        <f>Table134101114242730[[#This Row],[Total Number]]/1133</f>
        <v>4.5013239187996469E-2</v>
      </c>
      <c r="K68" s="1"/>
      <c r="L68" s="1"/>
    </row>
    <row r="69" spans="1:15" s="3" customFormat="1" x14ac:dyDescent="0.3">
      <c r="A69" s="321"/>
      <c r="B69" s="4"/>
      <c r="C69" s="41" t="s">
        <v>937</v>
      </c>
      <c r="D69" s="3">
        <v>29</v>
      </c>
      <c r="E69" s="54">
        <f>Table134101114242730[[#This Row],[Total Number]]/1133</f>
        <v>2.5595763459841131E-2</v>
      </c>
      <c r="K69" s="1"/>
      <c r="L69" s="1"/>
    </row>
    <row r="70" spans="1:15" s="3" customFormat="1" x14ac:dyDescent="0.3">
      <c r="A70" s="321"/>
      <c r="B70" s="4"/>
      <c r="C70" s="3" t="s">
        <v>938</v>
      </c>
      <c r="E70" s="54"/>
      <c r="K70" s="1"/>
      <c r="L70" s="1"/>
    </row>
    <row r="71" spans="1:15" s="3" customFormat="1" x14ac:dyDescent="0.3">
      <c r="A71" s="321"/>
      <c r="B71" s="4"/>
      <c r="C71" s="41" t="s">
        <v>890</v>
      </c>
      <c r="D71" s="3">
        <v>12</v>
      </c>
      <c r="E71" s="54">
        <f>Table134101114242730[[#This Row],[Total Number]]/1133</f>
        <v>1.0591350397175641E-2</v>
      </c>
      <c r="K71" s="1"/>
      <c r="L71" s="1"/>
    </row>
    <row r="72" spans="1:15" s="3" customFormat="1" x14ac:dyDescent="0.3">
      <c r="A72" s="321"/>
      <c r="B72" s="4"/>
      <c r="C72" s="41" t="s">
        <v>891</v>
      </c>
      <c r="D72" s="3">
        <v>75</v>
      </c>
      <c r="E72" s="54">
        <f>Table134101114242730[[#This Row],[Total Number]]/1133</f>
        <v>6.6195939982347754E-2</v>
      </c>
      <c r="K72" s="1"/>
      <c r="L72" s="1"/>
    </row>
    <row r="73" spans="1:15" s="3" customFormat="1" x14ac:dyDescent="0.3">
      <c r="A73" s="321"/>
      <c r="B73" s="4"/>
      <c r="C73" s="3" t="s">
        <v>939</v>
      </c>
      <c r="E73" s="54"/>
      <c r="K73" s="1"/>
      <c r="L73" s="1"/>
    </row>
    <row r="74" spans="1:15" s="3" customFormat="1" x14ac:dyDescent="0.3">
      <c r="A74" s="321"/>
      <c r="B74" s="4"/>
      <c r="C74" s="41" t="s">
        <v>940</v>
      </c>
      <c r="D74" s="3">
        <v>52</v>
      </c>
      <c r="E74" s="54">
        <f>Table134101114242730[[#This Row],[Total Number]]/1133</f>
        <v>4.5895851721094442E-2</v>
      </c>
      <c r="K74" s="1"/>
      <c r="L74" s="1"/>
    </row>
    <row r="75" spans="1:15" s="3" customFormat="1" x14ac:dyDescent="0.3">
      <c r="A75" s="321"/>
      <c r="B75" s="4"/>
      <c r="C75" s="41" t="s">
        <v>941</v>
      </c>
      <c r="D75" s="3">
        <v>27</v>
      </c>
      <c r="E75" s="54">
        <f>Table134101114242730[[#This Row],[Total Number]]/1133</f>
        <v>2.3830538393645191E-2</v>
      </c>
      <c r="K75" s="1"/>
      <c r="L75" s="1"/>
    </row>
    <row r="76" spans="1:15" s="3" customFormat="1" x14ac:dyDescent="0.3">
      <c r="A76" s="321"/>
      <c r="B76" s="4"/>
      <c r="C76" s="41" t="s">
        <v>895</v>
      </c>
      <c r="D76" s="3">
        <v>8</v>
      </c>
      <c r="E76" s="54">
        <f>Table134101114242730[[#This Row],[Total Number]]/1133</f>
        <v>7.0609002647837602E-3</v>
      </c>
      <c r="K76" s="1"/>
      <c r="L76" s="1"/>
    </row>
    <row r="77" spans="1:15" x14ac:dyDescent="0.35">
      <c r="A77" s="50"/>
    </row>
    <row r="78" spans="1:15" x14ac:dyDescent="0.35">
      <c r="A78" s="321" t="s">
        <v>943</v>
      </c>
      <c r="C78" s="2" t="s">
        <v>944</v>
      </c>
      <c r="D78" s="2" t="s">
        <v>890</v>
      </c>
      <c r="E78" s="2" t="s">
        <v>891</v>
      </c>
      <c r="F78" s="2" t="s">
        <v>883</v>
      </c>
      <c r="G78" s="2"/>
    </row>
    <row r="79" spans="1:15" x14ac:dyDescent="0.35">
      <c r="A79" s="321"/>
      <c r="C79" s="2" t="s">
        <v>945</v>
      </c>
      <c r="D79" s="2">
        <v>23</v>
      </c>
      <c r="E79" s="2">
        <v>6</v>
      </c>
      <c r="F79" s="4">
        <f>SUM(Table9[[#This Row],[Male]:[Female]])</f>
        <v>29</v>
      </c>
      <c r="G79" s="2"/>
    </row>
    <row r="80" spans="1:15" x14ac:dyDescent="0.35">
      <c r="A80" s="321"/>
      <c r="C80" s="2" t="s">
        <v>946</v>
      </c>
      <c r="D80" s="2">
        <v>23</v>
      </c>
      <c r="E80" s="2">
        <v>6</v>
      </c>
      <c r="F80" s="4">
        <f>SUM(Table9[[#This Row],[Male]:[Female]])</f>
        <v>29</v>
      </c>
      <c r="G80" s="2"/>
    </row>
    <row r="81" spans="1:7" x14ac:dyDescent="0.35">
      <c r="A81" s="321"/>
      <c r="C81" s="47" t="s">
        <v>947</v>
      </c>
      <c r="D81" s="2">
        <v>23</v>
      </c>
      <c r="E81" s="2">
        <v>6</v>
      </c>
      <c r="F81" s="4">
        <f>SUM(Table9[[#This Row],[Male]:[Female]])</f>
        <v>29</v>
      </c>
      <c r="G81" s="2"/>
    </row>
    <row r="82" spans="1:7" x14ac:dyDescent="0.35">
      <c r="A82" s="321"/>
      <c r="C82" s="47" t="s">
        <v>948</v>
      </c>
      <c r="D82" s="2">
        <v>23</v>
      </c>
      <c r="E82" s="2">
        <v>6</v>
      </c>
      <c r="F82" s="4">
        <f>SUM(Table9[[#This Row],[Male]:[Female]])</f>
        <v>29</v>
      </c>
      <c r="G82" s="2"/>
    </row>
    <row r="83" spans="1:7" x14ac:dyDescent="0.35">
      <c r="A83" s="321"/>
      <c r="C83" s="2" t="s">
        <v>949</v>
      </c>
      <c r="D83" s="48">
        <f>(D81/D79)</f>
        <v>1</v>
      </c>
      <c r="E83" s="48">
        <f t="shared" ref="E83:F84" si="1">(E81/E79)</f>
        <v>1</v>
      </c>
      <c r="F83" s="49">
        <f t="shared" si="1"/>
        <v>1</v>
      </c>
      <c r="G83" s="2"/>
    </row>
    <row r="84" spans="1:7" x14ac:dyDescent="0.35">
      <c r="A84" s="321"/>
      <c r="C84" s="2" t="s">
        <v>950</v>
      </c>
      <c r="D84" s="48">
        <f>(D82/D80)</f>
        <v>1</v>
      </c>
      <c r="E84" s="48">
        <f t="shared" si="1"/>
        <v>1</v>
      </c>
      <c r="F84" s="49">
        <f t="shared" si="1"/>
        <v>1</v>
      </c>
      <c r="G84" s="2"/>
    </row>
    <row r="85" spans="1:7" x14ac:dyDescent="0.35">
      <c r="A85" s="50"/>
    </row>
  </sheetData>
  <mergeCells count="12">
    <mergeCell ref="C1:I1"/>
    <mergeCell ref="C50:F50"/>
    <mergeCell ref="A78:A84"/>
    <mergeCell ref="A52:A76"/>
    <mergeCell ref="A35:A40"/>
    <mergeCell ref="A44:A49"/>
    <mergeCell ref="C25:J25"/>
    <mergeCell ref="A12:A15"/>
    <mergeCell ref="A18:A25"/>
    <mergeCell ref="A27:A32"/>
    <mergeCell ref="C42:H42"/>
    <mergeCell ref="F11:M11"/>
  </mergeCells>
  <phoneticPr fontId="14" type="noConversion"/>
  <hyperlinks>
    <hyperlink ref="C4" location="Total_number_of_employees" display="Total number of employees, percentage contractors" xr:uid="{72BB0DB2-599F-46F7-8743-E99CF1245387}"/>
    <hyperlink ref="C5" location="Employees__GRI_2_7" display="Employees" xr:uid="{7ACBDE28-3D80-4129-B578-D0E142C5EA71}"/>
    <hyperlink ref="C6" location="Workers_who_are_not_employees" display="Workers who are not employees" xr:uid="{41E7DE7E-6CF6-404F-AD23-641808C1C21C}"/>
    <hyperlink ref="C7" location="Diversity_of_Employees__GRI_405_1__14.21.5" display="Diversity of Employees" xr:uid="{3D6A5380-B30D-4B79-AE7A-CDA2CF302CB8}"/>
    <hyperlink ref="C8" location="Ratio_of_Basic_Salary" display="Ratio of Basic Salary and Remuneration of Women to Men" xr:uid="{2CFD40A5-F131-4BD0-8BA1-FD0CE5BEBBED}"/>
    <hyperlink ref="C9" location="new_hires_turnover" display="New Employee Hires and Employee Turnover" xr:uid="{52BD43C3-96E7-487B-9960-3F63F7B9C6B1}"/>
    <hyperlink ref="C10" location="Parental_leave" display="Parental leave" xr:uid="{7585307E-AD98-40BF-A3CF-17EBC5BDE5E1}"/>
    <hyperlink ref="J1" location="Tab_Menu" display=" Back to Menu" xr:uid="{3D7F77E1-AA30-4EDE-969B-204FB3426EC2}"/>
  </hyperlinks>
  <pageMargins left="0.7" right="0.7" top="0.75" bottom="0.75" header="0.3" footer="0.3"/>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52FD-90AF-4141-8ACB-9FB999579364}">
  <dimension ref="A1:O42"/>
  <sheetViews>
    <sheetView showGridLines="0" zoomScaleNormal="100" workbookViewId="0">
      <pane xSplit="2" ySplit="6" topLeftCell="C7" activePane="bottomRight" state="frozen"/>
      <selection pane="topRight" activeCell="C30" sqref="C30:G30"/>
      <selection pane="bottomLeft" activeCell="C30" sqref="C30:G30"/>
      <selection pane="bottomRight" activeCell="J22" sqref="J22"/>
    </sheetView>
  </sheetViews>
  <sheetFormatPr defaultRowHeight="14.5" x14ac:dyDescent="0.35"/>
  <cols>
    <col min="1" max="1" width="24.26953125" style="4" customWidth="1"/>
    <col min="2" max="2" width="4" style="4" customWidth="1"/>
    <col min="3" max="3" width="57.7265625" style="3" customWidth="1"/>
    <col min="4" max="4" width="44.26953125" style="3" customWidth="1"/>
    <col min="5" max="5" width="39.1796875" style="3" customWidth="1"/>
    <col min="6" max="6" width="27.7265625" style="3" customWidth="1"/>
    <col min="7" max="7" width="16.54296875" style="3" customWidth="1"/>
    <col min="8" max="8" width="12" style="3" bestFit="1" customWidth="1"/>
    <col min="9" max="9" width="11.453125" style="3" bestFit="1" customWidth="1"/>
    <col min="10" max="13" width="9.1796875" style="3"/>
    <col min="14" max="15" width="9.1796875" style="1"/>
  </cols>
  <sheetData>
    <row r="1" spans="1:15" ht="16" x14ac:dyDescent="0.35">
      <c r="A1" s="4" t="s">
        <v>151</v>
      </c>
      <c r="C1" s="326" t="s">
        <v>951</v>
      </c>
      <c r="D1" s="326"/>
      <c r="E1" s="326"/>
      <c r="F1" s="326"/>
      <c r="G1" s="232" t="s">
        <v>153</v>
      </c>
    </row>
    <row r="2" spans="1:15" ht="16" x14ac:dyDescent="0.35">
      <c r="C2" s="220"/>
      <c r="D2" s="220"/>
      <c r="E2" s="220"/>
      <c r="F2" s="220"/>
      <c r="G2" s="127"/>
    </row>
    <row r="3" spans="1:15" ht="16" x14ac:dyDescent="0.35">
      <c r="C3" s="233" t="s">
        <v>606</v>
      </c>
      <c r="D3" s="220"/>
      <c r="E3" s="220"/>
      <c r="F3" s="220"/>
      <c r="G3" s="127"/>
    </row>
    <row r="4" spans="1:15" ht="16" x14ac:dyDescent="0.35">
      <c r="C4" s="219" t="s">
        <v>114</v>
      </c>
      <c r="D4" s="220"/>
      <c r="E4" s="220"/>
      <c r="F4" s="220"/>
      <c r="G4" s="127"/>
    </row>
    <row r="5" spans="1:15" ht="16" x14ac:dyDescent="0.35">
      <c r="C5" s="219" t="s">
        <v>952</v>
      </c>
      <c r="D5" s="220"/>
      <c r="E5" s="220"/>
      <c r="F5" s="220"/>
      <c r="G5" s="127"/>
    </row>
    <row r="7" spans="1:15" x14ac:dyDescent="0.35">
      <c r="A7" s="322" t="s">
        <v>953</v>
      </c>
      <c r="C7" s="3" t="s">
        <v>954</v>
      </c>
      <c r="D7" s="3" t="s">
        <v>608</v>
      </c>
      <c r="E7" s="3" t="s">
        <v>609</v>
      </c>
      <c r="F7" s="3" t="s">
        <v>610</v>
      </c>
      <c r="G7" s="3" t="s">
        <v>693</v>
      </c>
    </row>
    <row r="8" spans="1:15" x14ac:dyDescent="0.35">
      <c r="A8" s="322"/>
      <c r="C8" s="44" t="s">
        <v>102</v>
      </c>
      <c r="D8" s="71"/>
      <c r="E8" s="71"/>
      <c r="F8" s="71"/>
      <c r="G8" s="71"/>
    </row>
    <row r="9" spans="1:15" x14ac:dyDescent="0.35">
      <c r="A9" s="322"/>
      <c r="C9" s="3" t="s">
        <v>955</v>
      </c>
      <c r="D9" s="40">
        <v>0</v>
      </c>
      <c r="E9" s="40">
        <v>0</v>
      </c>
      <c r="F9" s="40">
        <v>0</v>
      </c>
      <c r="G9" s="75">
        <f>SUM(Table13410111424273033[[#This Row],[El Limon Complex]:[Pan Mine]])</f>
        <v>0</v>
      </c>
    </row>
    <row r="10" spans="1:15" s="3" customFormat="1" x14ac:dyDescent="0.3">
      <c r="A10" s="322"/>
      <c r="B10" s="4"/>
      <c r="C10" s="3" t="s">
        <v>956</v>
      </c>
      <c r="D10" s="72">
        <f>(D9/D16)*200000</f>
        <v>0</v>
      </c>
      <c r="E10" s="72">
        <f t="shared" ref="E10:G10" si="0">(E9/E16)*200000</f>
        <v>0</v>
      </c>
      <c r="F10" s="72">
        <f t="shared" si="0"/>
        <v>0</v>
      </c>
      <c r="G10" s="76">
        <f t="shared" si="0"/>
        <v>0</v>
      </c>
      <c r="N10" s="1"/>
      <c r="O10" s="1"/>
    </row>
    <row r="11" spans="1:15" s="3" customFormat="1" x14ac:dyDescent="0.3">
      <c r="A11" s="322"/>
      <c r="B11" s="4"/>
      <c r="C11" s="3" t="s">
        <v>957</v>
      </c>
      <c r="D11" s="73">
        <v>0</v>
      </c>
      <c r="E11" s="73">
        <v>0</v>
      </c>
      <c r="F11" s="73">
        <v>0</v>
      </c>
      <c r="G11" s="77">
        <v>0</v>
      </c>
      <c r="N11" s="1"/>
      <c r="O11" s="1"/>
    </row>
    <row r="12" spans="1:15" s="3" customFormat="1" x14ac:dyDescent="0.3">
      <c r="A12" s="322"/>
      <c r="B12" s="4"/>
      <c r="C12" s="3" t="s">
        <v>958</v>
      </c>
      <c r="D12" s="72">
        <f>(D11/D16)*200000</f>
        <v>0</v>
      </c>
      <c r="E12" s="72">
        <v>0</v>
      </c>
      <c r="F12" s="72">
        <v>0</v>
      </c>
      <c r="G12" s="76">
        <v>0</v>
      </c>
      <c r="N12" s="1"/>
      <c r="O12" s="1"/>
    </row>
    <row r="13" spans="1:15" s="3" customFormat="1" x14ac:dyDescent="0.3">
      <c r="A13" s="322"/>
      <c r="B13" s="4"/>
      <c r="C13" s="3" t="s">
        <v>959</v>
      </c>
      <c r="D13" s="73">
        <v>6</v>
      </c>
      <c r="E13" s="73">
        <v>1</v>
      </c>
      <c r="F13" s="73">
        <v>0</v>
      </c>
      <c r="G13" s="77">
        <f>SUM(Table13410111424273033[[#This Row],[El Limon Complex]:[Pan Mine]])</f>
        <v>7</v>
      </c>
      <c r="N13" s="1"/>
      <c r="O13" s="1"/>
    </row>
    <row r="14" spans="1:15" s="3" customFormat="1" x14ac:dyDescent="0.3">
      <c r="A14" s="322"/>
      <c r="B14" s="4"/>
      <c r="C14" s="3" t="s">
        <v>960</v>
      </c>
      <c r="D14" s="72">
        <f>(D13/D16)*200000</f>
        <v>0.78822600541511256</v>
      </c>
      <c r="E14" s="72">
        <f t="shared" ref="E14:G14" si="1">(E13/E16)*200000</f>
        <v>0.14142031248232245</v>
      </c>
      <c r="F14" s="72">
        <f t="shared" si="1"/>
        <v>0</v>
      </c>
      <c r="G14" s="76">
        <f t="shared" si="1"/>
        <v>0.4567869734796009</v>
      </c>
      <c r="N14" s="1"/>
      <c r="O14" s="1"/>
    </row>
    <row r="15" spans="1:15" s="3" customFormat="1" x14ac:dyDescent="0.3">
      <c r="A15" s="322"/>
      <c r="B15" s="4"/>
      <c r="C15" s="3" t="s">
        <v>961</v>
      </c>
      <c r="D15" s="40" t="s">
        <v>962</v>
      </c>
      <c r="E15" s="40" t="s">
        <v>963</v>
      </c>
      <c r="F15" s="40" t="s">
        <v>964</v>
      </c>
      <c r="G15" s="75"/>
      <c r="N15" s="1"/>
      <c r="O15" s="1"/>
    </row>
    <row r="16" spans="1:15" s="3" customFormat="1" x14ac:dyDescent="0.3">
      <c r="A16" s="322"/>
      <c r="B16" s="4"/>
      <c r="C16" s="3" t="s">
        <v>965</v>
      </c>
      <c r="D16" s="279">
        <v>1522406</v>
      </c>
      <c r="E16" s="279">
        <v>1414224</v>
      </c>
      <c r="F16" s="279">
        <v>128256</v>
      </c>
      <c r="G16" s="286">
        <f>SUM(Table13410111424273033[[#This Row],[El Limon Complex]:[Pan Mine]])</f>
        <v>3064886</v>
      </c>
      <c r="N16" s="1"/>
      <c r="O16" s="1"/>
    </row>
    <row r="17" spans="1:15" s="3" customFormat="1" x14ac:dyDescent="0.3">
      <c r="A17" s="322"/>
      <c r="B17" s="4"/>
      <c r="C17" s="44" t="s">
        <v>966</v>
      </c>
      <c r="D17" s="71"/>
      <c r="E17" s="71"/>
      <c r="F17" s="71"/>
      <c r="G17" s="71"/>
      <c r="N17" s="1"/>
      <c r="O17" s="1"/>
    </row>
    <row r="18" spans="1:15" s="3" customFormat="1" x14ac:dyDescent="0.3">
      <c r="A18" s="322"/>
      <c r="B18" s="4"/>
      <c r="C18" s="3" t="s">
        <v>955</v>
      </c>
      <c r="D18" s="40">
        <v>0</v>
      </c>
      <c r="E18" s="40">
        <v>0</v>
      </c>
      <c r="F18" s="40">
        <v>0</v>
      </c>
      <c r="G18" s="75">
        <f>SUM(Table13410111424273033[[#This Row],[El Limon Complex]:[Pan Mine]])</f>
        <v>0</v>
      </c>
      <c r="N18" s="1"/>
      <c r="O18" s="1"/>
    </row>
    <row r="19" spans="1:15" s="3" customFormat="1" x14ac:dyDescent="0.3">
      <c r="A19" s="322"/>
      <c r="B19" s="4"/>
      <c r="C19" s="3" t="s">
        <v>956</v>
      </c>
      <c r="D19" s="38">
        <f>(D18/D25)*200000</f>
        <v>0</v>
      </c>
      <c r="E19" s="38">
        <f t="shared" ref="E19:F19" si="2">(E18/E25)*200000</f>
        <v>0</v>
      </c>
      <c r="F19" s="38">
        <f t="shared" si="2"/>
        <v>0</v>
      </c>
      <c r="G19" s="37">
        <f>(G18/G25)*200000</f>
        <v>0</v>
      </c>
      <c r="N19" s="1"/>
      <c r="O19" s="1"/>
    </row>
    <row r="20" spans="1:15" s="3" customFormat="1" x14ac:dyDescent="0.3">
      <c r="A20" s="322"/>
      <c r="B20" s="4"/>
      <c r="C20" s="3" t="s">
        <v>957</v>
      </c>
      <c r="D20" s="40">
        <v>0</v>
      </c>
      <c r="E20" s="40">
        <v>0</v>
      </c>
      <c r="F20" s="40">
        <v>0</v>
      </c>
      <c r="G20" s="75">
        <f>SUM(Table13410111424273033[[#This Row],[El Limon Complex]:[Pan Mine]])</f>
        <v>0</v>
      </c>
      <c r="N20" s="1"/>
      <c r="O20" s="1"/>
    </row>
    <row r="21" spans="1:15" s="3" customFormat="1" x14ac:dyDescent="0.3">
      <c r="A21" s="322"/>
      <c r="B21" s="4"/>
      <c r="C21" s="3" t="s">
        <v>958</v>
      </c>
      <c r="D21" s="38">
        <f>(D20/D25)*200000</f>
        <v>0</v>
      </c>
      <c r="E21" s="38">
        <f t="shared" ref="E21:G21" si="3">(E20/E25)*200000</f>
        <v>0</v>
      </c>
      <c r="F21" s="38">
        <f t="shared" si="3"/>
        <v>0</v>
      </c>
      <c r="G21" s="37">
        <f t="shared" si="3"/>
        <v>0</v>
      </c>
      <c r="N21" s="1"/>
      <c r="O21" s="1"/>
    </row>
    <row r="22" spans="1:15" s="3" customFormat="1" x14ac:dyDescent="0.3">
      <c r="A22" s="322"/>
      <c r="B22" s="4"/>
      <c r="C22" s="3" t="s">
        <v>959</v>
      </c>
      <c r="D22" s="40">
        <v>7</v>
      </c>
      <c r="E22" s="40">
        <v>13</v>
      </c>
      <c r="F22" s="40">
        <v>1</v>
      </c>
      <c r="G22" s="75">
        <f>SUM(Table13410111424273033[[#This Row],[El Limon Complex]:[Pan Mine]])</f>
        <v>21</v>
      </c>
      <c r="N22" s="1"/>
      <c r="O22" s="1"/>
    </row>
    <row r="23" spans="1:15" s="3" customFormat="1" x14ac:dyDescent="0.3">
      <c r="A23" s="322"/>
      <c r="B23" s="4"/>
      <c r="C23" s="3" t="s">
        <v>960</v>
      </c>
      <c r="D23" s="38">
        <f>(D22/D25)*200000</f>
        <v>0.39697257373198458</v>
      </c>
      <c r="E23" s="38">
        <f t="shared" ref="E23:G23" si="4">(E22/E25)*200000</f>
        <v>0.45879710809595137</v>
      </c>
      <c r="F23" s="38">
        <f t="shared" si="4"/>
        <v>0.6601509765283321</v>
      </c>
      <c r="G23" s="37">
        <f t="shared" si="4"/>
        <v>0.44226140471067366</v>
      </c>
      <c r="N23" s="1"/>
      <c r="O23" s="1"/>
    </row>
    <row r="24" spans="1:15" s="3" customFormat="1" x14ac:dyDescent="0.3">
      <c r="A24" s="322"/>
      <c r="B24" s="4"/>
      <c r="C24" s="3" t="s">
        <v>961</v>
      </c>
      <c r="D24" s="40" t="s">
        <v>967</v>
      </c>
      <c r="E24" s="40" t="s">
        <v>967</v>
      </c>
      <c r="F24" s="40" t="s">
        <v>968</v>
      </c>
      <c r="G24" s="75"/>
      <c r="N24" s="1"/>
      <c r="O24" s="1"/>
    </row>
    <row r="25" spans="1:15" s="3" customFormat="1" x14ac:dyDescent="0.3">
      <c r="A25" s="322"/>
      <c r="B25" s="4"/>
      <c r="C25" s="3" t="s">
        <v>965</v>
      </c>
      <c r="D25" s="79">
        <v>3526692</v>
      </c>
      <c r="E25" s="79">
        <v>5666993</v>
      </c>
      <c r="F25" s="79">
        <v>302961</v>
      </c>
      <c r="G25" s="287">
        <f>SUM(Table13410111424273033[[#This Row],[El Limon Complex]:[Pan Mine]])</f>
        <v>9496646</v>
      </c>
      <c r="N25" s="1"/>
      <c r="O25" s="1"/>
    </row>
    <row r="26" spans="1:15" s="3" customFormat="1" ht="87.75" customHeight="1" x14ac:dyDescent="0.3">
      <c r="A26" s="322"/>
      <c r="B26" s="4"/>
      <c r="C26" s="319" t="s">
        <v>969</v>
      </c>
      <c r="D26" s="319"/>
      <c r="E26" s="319"/>
      <c r="F26" s="319"/>
      <c r="G26" s="319"/>
      <c r="N26" s="1"/>
      <c r="O26" s="1"/>
    </row>
    <row r="27" spans="1:15" x14ac:dyDescent="0.35">
      <c r="A27" s="322"/>
    </row>
    <row r="28" spans="1:15" ht="111" customHeight="1" x14ac:dyDescent="0.35">
      <c r="A28" s="322"/>
      <c r="C28" s="327" t="s">
        <v>970</v>
      </c>
      <c r="D28" s="328"/>
      <c r="E28" s="328"/>
      <c r="F28" s="328"/>
      <c r="G28" s="329"/>
    </row>
    <row r="29" spans="1:15" x14ac:dyDescent="0.35">
      <c r="A29" s="24"/>
    </row>
    <row r="30" spans="1:15" s="3" customFormat="1" x14ac:dyDescent="0.3">
      <c r="A30" s="322" t="s">
        <v>971</v>
      </c>
      <c r="B30" s="4"/>
      <c r="C30" s="3" t="s">
        <v>972</v>
      </c>
      <c r="D30" s="3" t="s">
        <v>608</v>
      </c>
      <c r="E30" s="3" t="s">
        <v>609</v>
      </c>
      <c r="F30" s="3" t="s">
        <v>610</v>
      </c>
      <c r="G30" s="3" t="s">
        <v>693</v>
      </c>
      <c r="N30" s="1"/>
      <c r="O30" s="1"/>
    </row>
    <row r="31" spans="1:15" s="3" customFormat="1" x14ac:dyDescent="0.3">
      <c r="A31" s="322"/>
      <c r="B31" s="4"/>
      <c r="C31" s="44" t="s">
        <v>102</v>
      </c>
      <c r="D31" s="44"/>
      <c r="E31" s="44"/>
      <c r="F31" s="44"/>
      <c r="G31" s="44"/>
      <c r="N31" s="1"/>
      <c r="O31" s="1"/>
    </row>
    <row r="32" spans="1:15" s="3" customFormat="1" x14ac:dyDescent="0.3">
      <c r="A32" s="322"/>
      <c r="B32" s="4"/>
      <c r="C32" s="3" t="s">
        <v>973</v>
      </c>
      <c r="D32" s="40">
        <v>0</v>
      </c>
      <c r="E32" s="40">
        <v>0</v>
      </c>
      <c r="F32" s="40">
        <v>0</v>
      </c>
      <c r="G32" s="75">
        <f>SUM(Table13410121525283134[[#This Row],[El Limon Complex]:[Pan Mine]])</f>
        <v>0</v>
      </c>
      <c r="N32" s="1"/>
      <c r="O32" s="1"/>
    </row>
    <row r="33" spans="1:15" s="3" customFormat="1" x14ac:dyDescent="0.3">
      <c r="A33" s="322"/>
      <c r="B33" s="4"/>
      <c r="C33" s="3" t="s">
        <v>974</v>
      </c>
      <c r="D33" s="40">
        <v>3</v>
      </c>
      <c r="E33" s="40">
        <v>5</v>
      </c>
      <c r="F33" s="40">
        <v>0</v>
      </c>
      <c r="G33" s="75">
        <f>SUM(Table13410121525283134[[#This Row],[El Limon Complex]:[Pan Mine]])</f>
        <v>8</v>
      </c>
      <c r="N33" s="1"/>
      <c r="O33" s="1"/>
    </row>
    <row r="34" spans="1:15" s="3" customFormat="1" x14ac:dyDescent="0.3">
      <c r="A34" s="322"/>
      <c r="B34" s="4"/>
      <c r="C34" s="3" t="s">
        <v>975</v>
      </c>
      <c r="D34" s="40" t="s">
        <v>976</v>
      </c>
      <c r="E34" s="40" t="s">
        <v>977</v>
      </c>
      <c r="F34" s="40" t="s">
        <v>978</v>
      </c>
      <c r="G34" s="75">
        <f>SUM(Table13410121525283134[[#This Row],[El Limon Complex]:[Pan Mine]])</f>
        <v>0</v>
      </c>
      <c r="N34" s="1"/>
      <c r="O34" s="1"/>
    </row>
    <row r="35" spans="1:15" s="3" customFormat="1" x14ac:dyDescent="0.3">
      <c r="A35" s="322"/>
      <c r="B35" s="4"/>
      <c r="C35" s="234" t="s">
        <v>979</v>
      </c>
      <c r="D35" s="288"/>
      <c r="E35" s="288"/>
      <c r="F35" s="288"/>
      <c r="G35" s="288"/>
      <c r="N35" s="1"/>
      <c r="O35" s="1"/>
    </row>
    <row r="36" spans="1:15" s="3" customFormat="1" x14ac:dyDescent="0.3">
      <c r="A36" s="322"/>
      <c r="B36" s="4"/>
      <c r="C36" s="3" t="s">
        <v>973</v>
      </c>
      <c r="D36" s="40">
        <v>0</v>
      </c>
      <c r="E36" s="40">
        <v>0</v>
      </c>
      <c r="F36" s="40">
        <v>0</v>
      </c>
      <c r="G36" s="75">
        <f>SUM(Table13410121525283134[[#This Row],[El Limon Complex]:[Pan Mine]])</f>
        <v>0</v>
      </c>
      <c r="N36" s="1"/>
      <c r="O36" s="1"/>
    </row>
    <row r="37" spans="1:15" s="3" customFormat="1" x14ac:dyDescent="0.3">
      <c r="A37" s="322"/>
      <c r="B37" s="4"/>
      <c r="C37" s="3" t="s">
        <v>974</v>
      </c>
      <c r="D37" s="40" t="s">
        <v>980</v>
      </c>
      <c r="E37" s="40" t="s">
        <v>980</v>
      </c>
      <c r="F37" s="40">
        <v>0</v>
      </c>
      <c r="G37" s="75">
        <f>SUM(Table13410121525283134[[#This Row],[El Limon Complex]:[Pan Mine]])</f>
        <v>0</v>
      </c>
      <c r="N37" s="1"/>
      <c r="O37" s="1"/>
    </row>
    <row r="38" spans="1:15" s="3" customFormat="1" x14ac:dyDescent="0.3">
      <c r="A38" s="322"/>
      <c r="B38" s="4"/>
      <c r="C38" s="3" t="s">
        <v>975</v>
      </c>
      <c r="D38" s="40" t="s">
        <v>980</v>
      </c>
      <c r="E38" s="40" t="s">
        <v>980</v>
      </c>
      <c r="F38" s="40" t="s">
        <v>981</v>
      </c>
      <c r="G38" s="75">
        <f>SUM(Table13410121525283134[[#This Row],[El Limon Complex]:[Pan Mine]])</f>
        <v>0</v>
      </c>
      <c r="N38" s="1"/>
      <c r="O38" s="1"/>
    </row>
    <row r="39" spans="1:15" s="3" customFormat="1" ht="39" customHeight="1" x14ac:dyDescent="0.3">
      <c r="A39" s="322"/>
      <c r="B39" s="4"/>
      <c r="C39" s="319" t="s">
        <v>982</v>
      </c>
      <c r="D39" s="319"/>
      <c r="E39" s="319"/>
      <c r="F39" s="319"/>
      <c r="G39" s="319"/>
      <c r="N39" s="1"/>
      <c r="O39" s="1"/>
    </row>
    <row r="40" spans="1:15" x14ac:dyDescent="0.35">
      <c r="A40" s="322"/>
    </row>
    <row r="41" spans="1:15" ht="124.5" customHeight="1" x14ac:dyDescent="0.35">
      <c r="A41" s="322"/>
      <c r="C41" s="327" t="s">
        <v>983</v>
      </c>
      <c r="D41" s="328"/>
      <c r="E41" s="328"/>
      <c r="F41" s="328"/>
      <c r="G41" s="329"/>
    </row>
    <row r="42" spans="1:15" x14ac:dyDescent="0.35">
      <c r="A42" s="70"/>
    </row>
  </sheetData>
  <mergeCells count="7">
    <mergeCell ref="C1:F1"/>
    <mergeCell ref="C26:G26"/>
    <mergeCell ref="C28:G28"/>
    <mergeCell ref="A7:A28"/>
    <mergeCell ref="C41:G41"/>
    <mergeCell ref="A30:A41"/>
    <mergeCell ref="C39:G39"/>
  </mergeCells>
  <phoneticPr fontId="14" type="noConversion"/>
  <hyperlinks>
    <hyperlink ref="C4" location="Work_related_injuries" display="Work-related injuries" xr:uid="{C76ADD05-8226-4682-B8F8-556346B18775}"/>
    <hyperlink ref="C5" location="Work_related_ill_health" display="Work-related ill health" xr:uid="{D6A3FD28-2BB1-4E16-A648-7648FE9F0846}"/>
    <hyperlink ref="G1" location="Tab_Menu" display=" Back to Menu" xr:uid="{65CB47C5-0ED4-4A7B-A029-6B05DBD8C60C}"/>
  </hyperlink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B81D-D4D0-4C7B-B627-AA9CA18C54D8}">
  <dimension ref="A1:O31"/>
  <sheetViews>
    <sheetView showGridLines="0" zoomScaleNormal="100" workbookViewId="0">
      <pane xSplit="2" ySplit="7" topLeftCell="C8" activePane="bottomRight" state="frozen"/>
      <selection pane="topRight" activeCell="D30" sqref="D30"/>
      <selection pane="bottomLeft" activeCell="D30" sqref="D30"/>
      <selection pane="bottomRight" activeCell="C33" sqref="C33"/>
    </sheetView>
  </sheetViews>
  <sheetFormatPr defaultRowHeight="14.5" x14ac:dyDescent="0.35"/>
  <cols>
    <col min="1" max="1" width="28" style="10" customWidth="1"/>
    <col min="2" max="2" width="4" style="5" customWidth="1"/>
    <col min="3" max="3" width="72.453125" style="3" customWidth="1"/>
    <col min="4" max="4" width="78.7265625" style="3" customWidth="1"/>
    <col min="5" max="5" width="55.453125" style="3" customWidth="1"/>
    <col min="6" max="6" width="25.7265625" style="3" customWidth="1"/>
    <col min="7" max="7" width="16" style="3" customWidth="1"/>
    <col min="8" max="8" width="17.7265625" style="3" customWidth="1"/>
    <col min="9" max="9" width="19" style="3" customWidth="1"/>
    <col min="10" max="13" width="9.1796875" style="3"/>
    <col min="14" max="15" width="9.1796875" style="1"/>
  </cols>
  <sheetData>
    <row r="1" spans="1:15" ht="18.75" customHeight="1" x14ac:dyDescent="0.35">
      <c r="A1" s="10" t="s">
        <v>984</v>
      </c>
      <c r="C1" s="320" t="s">
        <v>985</v>
      </c>
      <c r="D1" s="320"/>
      <c r="E1" s="320"/>
      <c r="F1" s="320"/>
      <c r="G1" s="232" t="s">
        <v>153</v>
      </c>
    </row>
    <row r="3" spans="1:15" x14ac:dyDescent="0.35">
      <c r="C3" s="233" t="s">
        <v>606</v>
      </c>
    </row>
    <row r="4" spans="1:15" x14ac:dyDescent="0.35">
      <c r="C4" s="221" t="s">
        <v>986</v>
      </c>
    </row>
    <row r="5" spans="1:15" x14ac:dyDescent="0.35">
      <c r="C5" s="221" t="s">
        <v>987</v>
      </c>
    </row>
    <row r="6" spans="1:15" x14ac:dyDescent="0.35">
      <c r="C6" s="221" t="s">
        <v>123</v>
      </c>
    </row>
    <row r="8" spans="1:15" x14ac:dyDescent="0.35">
      <c r="A8" s="321" t="s">
        <v>988</v>
      </c>
      <c r="C8" s="3" t="s">
        <v>986</v>
      </c>
      <c r="D8" s="3" t="s">
        <v>989</v>
      </c>
      <c r="L8" s="1"/>
      <c r="M8" s="1"/>
      <c r="N8"/>
      <c r="O8"/>
    </row>
    <row r="9" spans="1:15" ht="27" customHeight="1" x14ac:dyDescent="0.35">
      <c r="A9" s="321"/>
      <c r="C9" s="3" t="s">
        <v>990</v>
      </c>
      <c r="D9" s="55">
        <f>3/3</f>
        <v>1</v>
      </c>
      <c r="L9" s="1"/>
      <c r="M9" s="1"/>
      <c r="N9"/>
      <c r="O9"/>
    </row>
    <row r="10" spans="1:15" x14ac:dyDescent="0.35">
      <c r="A10" s="321"/>
      <c r="C10" s="3" t="s">
        <v>991</v>
      </c>
      <c r="D10" s="55">
        <f>3/3</f>
        <v>1</v>
      </c>
      <c r="L10" s="1"/>
      <c r="M10" s="1"/>
      <c r="N10"/>
      <c r="O10"/>
    </row>
    <row r="11" spans="1:15" x14ac:dyDescent="0.35">
      <c r="A11" s="321"/>
      <c r="C11" s="3" t="s">
        <v>992</v>
      </c>
      <c r="D11" s="55">
        <f t="shared" ref="D11:D14" si="0">3/3</f>
        <v>1</v>
      </c>
      <c r="L11" s="1"/>
      <c r="M11" s="1"/>
      <c r="N11"/>
      <c r="O11"/>
    </row>
    <row r="12" spans="1:15" x14ac:dyDescent="0.35">
      <c r="A12" s="321"/>
      <c r="C12" s="3" t="s">
        <v>993</v>
      </c>
      <c r="D12" s="55">
        <f t="shared" si="0"/>
        <v>1</v>
      </c>
      <c r="L12" s="1"/>
      <c r="M12" s="1"/>
      <c r="N12"/>
      <c r="O12"/>
    </row>
    <row r="13" spans="1:15" ht="169" x14ac:dyDescent="0.35">
      <c r="A13" s="321"/>
      <c r="C13" s="8" t="s">
        <v>994</v>
      </c>
      <c r="D13" s="55" t="s">
        <v>995</v>
      </c>
      <c r="L13" s="1"/>
      <c r="M13" s="1"/>
      <c r="N13"/>
      <c r="O13"/>
    </row>
    <row r="14" spans="1:15" x14ac:dyDescent="0.35">
      <c r="A14" s="321"/>
      <c r="C14" s="3" t="s">
        <v>996</v>
      </c>
      <c r="D14" s="55">
        <f t="shared" si="0"/>
        <v>1</v>
      </c>
      <c r="L14" s="1"/>
      <c r="M14" s="1"/>
      <c r="N14"/>
      <c r="O14"/>
    </row>
    <row r="15" spans="1:15" ht="26" x14ac:dyDescent="0.35">
      <c r="A15" s="321"/>
      <c r="C15" s="3" t="s">
        <v>997</v>
      </c>
      <c r="D15" s="55">
        <v>0</v>
      </c>
      <c r="L15" s="1"/>
      <c r="M15" s="1"/>
      <c r="N15"/>
      <c r="O15"/>
    </row>
    <row r="16" spans="1:15" ht="26" x14ac:dyDescent="0.35">
      <c r="A16" s="321"/>
      <c r="C16" s="3" t="s">
        <v>998</v>
      </c>
      <c r="D16" s="55">
        <f t="shared" ref="D16:D17" si="1">2/3</f>
        <v>0.66666666666666663</v>
      </c>
      <c r="L16" s="1"/>
      <c r="M16" s="1"/>
      <c r="N16"/>
      <c r="O16"/>
    </row>
    <row r="17" spans="1:15" x14ac:dyDescent="0.35">
      <c r="A17" s="321"/>
      <c r="C17" s="3" t="s">
        <v>999</v>
      </c>
      <c r="D17" s="55">
        <f t="shared" si="1"/>
        <v>0.66666666666666663</v>
      </c>
      <c r="L17" s="1"/>
      <c r="M17" s="1"/>
      <c r="N17"/>
      <c r="O17"/>
    </row>
    <row r="18" spans="1:15" ht="46.5" customHeight="1" x14ac:dyDescent="0.35">
      <c r="A18" s="321"/>
      <c r="C18" s="319" t="s">
        <v>1000</v>
      </c>
      <c r="D18" s="319"/>
      <c r="E18" s="45"/>
      <c r="F18" s="45"/>
    </row>
    <row r="20" spans="1:15" x14ac:dyDescent="0.35">
      <c r="A20" s="322" t="s">
        <v>1001</v>
      </c>
      <c r="C20" s="3" t="s">
        <v>1002</v>
      </c>
      <c r="D20" s="3" t="s">
        <v>608</v>
      </c>
      <c r="E20" s="3" t="s">
        <v>609</v>
      </c>
      <c r="F20" s="3" t="s">
        <v>610</v>
      </c>
      <c r="M20" s="1"/>
      <c r="O20"/>
    </row>
    <row r="21" spans="1:15" x14ac:dyDescent="0.35">
      <c r="A21" s="322"/>
      <c r="C21" s="10" t="s">
        <v>612</v>
      </c>
      <c r="D21" s="3" t="s">
        <v>1003</v>
      </c>
      <c r="E21" s="3" t="s">
        <v>1004</v>
      </c>
      <c r="F21" s="3" t="s">
        <v>1005</v>
      </c>
      <c r="M21" s="1"/>
      <c r="O21"/>
    </row>
    <row r="22" spans="1:15" ht="78" x14ac:dyDescent="0.35">
      <c r="A22" s="322"/>
      <c r="C22" s="10" t="s">
        <v>1006</v>
      </c>
      <c r="D22" s="14" t="s">
        <v>1007</v>
      </c>
      <c r="E22" s="14" t="s">
        <v>1008</v>
      </c>
      <c r="F22" s="14" t="s">
        <v>1009</v>
      </c>
      <c r="M22" s="1"/>
      <c r="O22"/>
    </row>
    <row r="23" spans="1:15" ht="117" x14ac:dyDescent="0.35">
      <c r="A23" s="322"/>
      <c r="C23" s="10" t="s">
        <v>1010</v>
      </c>
      <c r="D23" s="14" t="s">
        <v>1011</v>
      </c>
      <c r="E23" s="14" t="s">
        <v>1012</v>
      </c>
      <c r="F23" s="14" t="s">
        <v>1013</v>
      </c>
      <c r="M23" s="1"/>
      <c r="O23"/>
    </row>
    <row r="24" spans="1:15" x14ac:dyDescent="0.35">
      <c r="A24" s="51"/>
    </row>
    <row r="25" spans="1:15" ht="15" customHeight="1" x14ac:dyDescent="0.35">
      <c r="A25" s="322" t="s">
        <v>1014</v>
      </c>
      <c r="C25" s="3" t="s">
        <v>1015</v>
      </c>
      <c r="D25" s="3" t="s">
        <v>608</v>
      </c>
      <c r="E25" s="3" t="s">
        <v>609</v>
      </c>
      <c r="F25" s="3" t="s">
        <v>610</v>
      </c>
      <c r="M25" s="1"/>
      <c r="O25"/>
    </row>
    <row r="26" spans="1:15" s="3" customFormat="1" x14ac:dyDescent="0.35">
      <c r="A26" s="322"/>
      <c r="B26" s="5"/>
      <c r="C26" s="3" t="s">
        <v>1016</v>
      </c>
      <c r="D26" s="3">
        <v>10</v>
      </c>
      <c r="E26" s="3">
        <v>78</v>
      </c>
      <c r="F26" s="3">
        <v>0</v>
      </c>
      <c r="M26" s="1"/>
      <c r="N26" s="1"/>
    </row>
    <row r="27" spans="1:15" s="3" customFormat="1" ht="26" x14ac:dyDescent="0.35">
      <c r="A27" s="322"/>
      <c r="B27" s="5"/>
      <c r="C27" s="3" t="s">
        <v>1017</v>
      </c>
      <c r="D27" s="3" t="s">
        <v>1018</v>
      </c>
      <c r="E27" s="3" t="s">
        <v>1019</v>
      </c>
      <c r="F27" s="3" t="s">
        <v>726</v>
      </c>
      <c r="M27" s="1"/>
      <c r="N27" s="1"/>
    </row>
    <row r="28" spans="1:15" s="3" customFormat="1" x14ac:dyDescent="0.35">
      <c r="A28" s="322"/>
      <c r="B28" s="5"/>
      <c r="C28" s="3" t="s">
        <v>1020</v>
      </c>
      <c r="D28" s="11">
        <v>1</v>
      </c>
      <c r="E28" s="11">
        <v>0.94</v>
      </c>
      <c r="F28" s="3" t="s">
        <v>726</v>
      </c>
      <c r="M28" s="1"/>
      <c r="N28" s="1"/>
    </row>
    <row r="29" spans="1:15" x14ac:dyDescent="0.35">
      <c r="A29" s="322"/>
      <c r="C29" s="3" t="s">
        <v>1021</v>
      </c>
      <c r="D29" s="55">
        <v>0.7</v>
      </c>
      <c r="E29" s="55">
        <v>0.39743589743589741</v>
      </c>
      <c r="F29" s="54" t="s">
        <v>726</v>
      </c>
      <c r="M29" s="1"/>
      <c r="O29"/>
    </row>
    <row r="30" spans="1:15" ht="43.5" customHeight="1" x14ac:dyDescent="0.35">
      <c r="A30" s="322"/>
      <c r="C30" s="330" t="s">
        <v>1022</v>
      </c>
      <c r="D30" s="330"/>
      <c r="E30" s="330"/>
      <c r="F30" s="330"/>
      <c r="G30" s="18"/>
    </row>
    <row r="31" spans="1:15" x14ac:dyDescent="0.35">
      <c r="C31" s="56"/>
      <c r="D31" s="57"/>
      <c r="E31" s="57"/>
      <c r="F31" s="57"/>
      <c r="G31" s="57"/>
    </row>
  </sheetData>
  <mergeCells count="6">
    <mergeCell ref="C1:F1"/>
    <mergeCell ref="A8:A18"/>
    <mergeCell ref="A20:A23"/>
    <mergeCell ref="C18:D18"/>
    <mergeCell ref="A25:A30"/>
    <mergeCell ref="C30:F30"/>
  </mergeCells>
  <phoneticPr fontId="14" type="noConversion"/>
  <hyperlinks>
    <hyperlink ref="C4" location="Operations_with_local_community_engagement" display="Operations with local community engagement, impact assessments, and development programs" xr:uid="{2F9D263E-554A-4FF4-BD72-0D0CC26B14FE}"/>
    <hyperlink ref="C5" location="Significant_Actual_and_Potential_" display="Significant Actual and Potential Negative Impacts on Local Communities" xr:uid="{0D4CCB3B-9318-4481-B372-7E9743DE1ABC}"/>
    <hyperlink ref="C6" location="Community_Grievances__GRI_14.10.4" display="Community Grievances" xr:uid="{216FB7D7-F644-4E5A-B769-7D10066F1B49}"/>
    <hyperlink ref="G1" location="Tab_Menu" display=" Back to Menu" xr:uid="{FE057C75-31A7-4065-829D-0CFFAE9EE0C0}"/>
  </hyperlink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9AAF-43AE-4E32-8174-ADE1C546CFD5}">
  <dimension ref="A1:N23"/>
  <sheetViews>
    <sheetView showGridLines="0" zoomScaleNormal="100" workbookViewId="0">
      <pane xSplit="2" ySplit="5" topLeftCell="C6" activePane="bottomRight" state="frozen"/>
      <selection pane="topRight" activeCell="A77" sqref="A77:A83"/>
      <selection pane="bottomLeft" activeCell="A77" sqref="A77:A83"/>
      <selection pane="bottomRight" activeCell="A16" sqref="A16:A22"/>
    </sheetView>
  </sheetViews>
  <sheetFormatPr defaultRowHeight="14.5" x14ac:dyDescent="0.35"/>
  <cols>
    <col min="1" max="1" width="36.81640625" style="5" customWidth="1"/>
    <col min="2" max="2" width="4" style="4" customWidth="1"/>
    <col min="3" max="3" width="72" style="3" customWidth="1"/>
    <col min="4" max="4" width="56.453125" style="3" customWidth="1"/>
    <col min="5" max="5" width="24.81640625" style="3" customWidth="1"/>
    <col min="6" max="6" width="16.81640625" style="3" customWidth="1"/>
    <col min="7" max="7" width="11" style="3" bestFit="1" customWidth="1"/>
    <col min="8" max="8" width="12" style="3" bestFit="1" customWidth="1"/>
    <col min="9" max="9" width="20.1796875" style="3" bestFit="1" customWidth="1"/>
    <col min="10" max="12" width="9.1796875" style="3"/>
    <col min="13" max="14" width="9.1796875" style="1"/>
  </cols>
  <sheetData>
    <row r="1" spans="1:14" ht="18.5" x14ac:dyDescent="0.35">
      <c r="A1" s="5" t="s">
        <v>1023</v>
      </c>
      <c r="C1" s="68" t="s">
        <v>1024</v>
      </c>
      <c r="D1" s="68"/>
      <c r="E1" s="68"/>
      <c r="F1" s="232" t="s">
        <v>153</v>
      </c>
    </row>
    <row r="2" spans="1:14" ht="18.5" x14ac:dyDescent="0.35">
      <c r="C2" s="222"/>
      <c r="D2" s="222"/>
      <c r="E2" s="222"/>
      <c r="F2" s="127"/>
    </row>
    <row r="3" spans="1:14" ht="15.75" customHeight="1" x14ac:dyDescent="0.35">
      <c r="C3" s="233" t="s">
        <v>606</v>
      </c>
      <c r="D3" s="222"/>
      <c r="E3" s="222"/>
      <c r="F3" s="127"/>
    </row>
    <row r="4" spans="1:14" ht="15.75" customHeight="1" x14ac:dyDescent="0.35">
      <c r="C4" s="223" t="s">
        <v>126</v>
      </c>
      <c r="D4" s="222"/>
      <c r="E4" s="222"/>
      <c r="F4" s="127"/>
    </row>
    <row r="5" spans="1:14" ht="13.5" customHeight="1" x14ac:dyDescent="0.35">
      <c r="C5" s="221" t="s">
        <v>128</v>
      </c>
    </row>
    <row r="7" spans="1:14" x14ac:dyDescent="0.35">
      <c r="A7" s="322" t="s">
        <v>1025</v>
      </c>
      <c r="C7" s="3" t="s">
        <v>1026</v>
      </c>
      <c r="D7" s="3" t="s">
        <v>608</v>
      </c>
      <c r="E7" s="3" t="s">
        <v>609</v>
      </c>
      <c r="F7" s="3" t="s">
        <v>610</v>
      </c>
    </row>
    <row r="8" spans="1:14" x14ac:dyDescent="0.35">
      <c r="A8" s="322"/>
      <c r="C8" s="3" t="s">
        <v>1027</v>
      </c>
      <c r="D8" s="3" t="s">
        <v>662</v>
      </c>
      <c r="E8" s="3" t="s">
        <v>664</v>
      </c>
      <c r="F8" s="3" t="s">
        <v>664</v>
      </c>
      <c r="L8" s="1"/>
      <c r="N8"/>
    </row>
    <row r="9" spans="1:14" x14ac:dyDescent="0.35">
      <c r="A9" s="322"/>
      <c r="C9" s="3" t="s">
        <v>1028</v>
      </c>
      <c r="D9" s="3">
        <f>SUM(D10:D12)</f>
        <v>335</v>
      </c>
      <c r="E9" s="3" t="s">
        <v>726</v>
      </c>
      <c r="F9" s="3" t="s">
        <v>726</v>
      </c>
      <c r="L9" s="1"/>
      <c r="N9"/>
    </row>
    <row r="10" spans="1:14" x14ac:dyDescent="0.35">
      <c r="A10" s="322"/>
      <c r="C10" s="8" t="s">
        <v>1029</v>
      </c>
      <c r="D10" s="3">
        <v>115</v>
      </c>
      <c r="E10" s="3" t="s">
        <v>726</v>
      </c>
      <c r="F10" s="3" t="s">
        <v>726</v>
      </c>
      <c r="L10" s="1"/>
      <c r="N10"/>
    </row>
    <row r="11" spans="1:14" x14ac:dyDescent="0.35">
      <c r="A11" s="322"/>
      <c r="C11" s="8" t="s">
        <v>1030</v>
      </c>
      <c r="D11" s="3">
        <v>135</v>
      </c>
      <c r="E11" s="3" t="s">
        <v>726</v>
      </c>
      <c r="F11" s="3" t="s">
        <v>726</v>
      </c>
      <c r="L11" s="1"/>
      <c r="N11"/>
    </row>
    <row r="12" spans="1:14" x14ac:dyDescent="0.35">
      <c r="A12" s="322"/>
      <c r="C12" s="8" t="s">
        <v>1031</v>
      </c>
      <c r="D12" s="3">
        <v>85</v>
      </c>
      <c r="L12" s="1"/>
      <c r="N12"/>
    </row>
    <row r="13" spans="1:14" ht="39" x14ac:dyDescent="0.35">
      <c r="A13" s="322"/>
      <c r="C13" s="3" t="s">
        <v>1032</v>
      </c>
      <c r="D13" s="3" t="s">
        <v>1033</v>
      </c>
      <c r="E13" s="3" t="s">
        <v>726</v>
      </c>
      <c r="F13" s="3" t="s">
        <v>726</v>
      </c>
      <c r="L13" s="1"/>
      <c r="N13"/>
    </row>
    <row r="14" spans="1:14" ht="52" x14ac:dyDescent="0.35">
      <c r="A14" s="322"/>
      <c r="C14" s="3" t="s">
        <v>1034</v>
      </c>
      <c r="D14" s="3" t="s">
        <v>1035</v>
      </c>
      <c r="E14" s="3" t="s">
        <v>726</v>
      </c>
      <c r="F14" s="3" t="s">
        <v>726</v>
      </c>
      <c r="L14" s="1"/>
      <c r="N14"/>
    </row>
    <row r="15" spans="1:14" x14ac:dyDescent="0.35">
      <c r="A15" s="51"/>
      <c r="L15" s="1"/>
      <c r="N15"/>
    </row>
    <row r="16" spans="1:14" x14ac:dyDescent="0.35">
      <c r="A16" s="321" t="s">
        <v>1036</v>
      </c>
      <c r="C16" s="67" t="s">
        <v>1037</v>
      </c>
      <c r="D16" s="60" t="s">
        <v>1038</v>
      </c>
    </row>
    <row r="17" spans="1:14" s="2" customFormat="1" ht="13" x14ac:dyDescent="0.3">
      <c r="A17" s="321"/>
      <c r="B17" s="4"/>
      <c r="C17" s="64" t="s">
        <v>1039</v>
      </c>
      <c r="D17" s="65">
        <v>74394.600000000006</v>
      </c>
      <c r="E17" s="3"/>
      <c r="F17" s="3"/>
      <c r="G17" s="3"/>
      <c r="H17" s="3"/>
      <c r="I17" s="3"/>
      <c r="J17" s="3"/>
    </row>
    <row r="18" spans="1:14" s="2" customFormat="1" ht="13" x14ac:dyDescent="0.3">
      <c r="A18" s="321"/>
      <c r="B18" s="4"/>
      <c r="C18" s="64" t="s">
        <v>1040</v>
      </c>
      <c r="D18" s="62">
        <f>(D17*3.519)*0.0000283495</f>
        <v>7.4217459389913012</v>
      </c>
      <c r="E18" s="3"/>
      <c r="F18" s="3"/>
      <c r="G18" s="3"/>
      <c r="H18" s="3"/>
      <c r="I18" s="3"/>
      <c r="J18" s="3"/>
    </row>
    <row r="19" spans="1:14" s="2" customFormat="1" ht="13" x14ac:dyDescent="0.3">
      <c r="A19" s="321"/>
      <c r="B19" s="4"/>
      <c r="C19" s="64" t="s">
        <v>1041</v>
      </c>
      <c r="D19" s="63">
        <f>D17*4.32</f>
        <v>321384.67200000002</v>
      </c>
      <c r="E19" s="3"/>
      <c r="F19" s="3"/>
      <c r="G19" s="3"/>
      <c r="H19" s="3"/>
      <c r="I19" s="3"/>
      <c r="J19" s="3"/>
    </row>
    <row r="20" spans="1:14" s="2" customFormat="1" ht="38.25" customHeight="1" x14ac:dyDescent="0.3">
      <c r="A20" s="321"/>
      <c r="B20" s="4"/>
      <c r="C20" s="319" t="s">
        <v>1042</v>
      </c>
      <c r="D20" s="319"/>
      <c r="E20" s="61"/>
      <c r="F20" s="61"/>
      <c r="G20" s="3"/>
      <c r="H20" s="3"/>
      <c r="I20" s="3"/>
      <c r="J20" s="3"/>
    </row>
    <row r="21" spans="1:14" s="2" customFormat="1" ht="13" x14ac:dyDescent="0.3">
      <c r="A21" s="321"/>
      <c r="B21" s="4"/>
      <c r="C21" s="59"/>
      <c r="D21" s="59"/>
      <c r="E21" s="59"/>
      <c r="F21" s="59"/>
      <c r="G21" s="61"/>
      <c r="H21" s="61"/>
      <c r="I21" s="61"/>
      <c r="J21" s="3"/>
      <c r="K21" s="3"/>
      <c r="L21" s="3"/>
      <c r="M21" s="3"/>
      <c r="N21" s="3"/>
    </row>
    <row r="22" spans="1:14" s="2" customFormat="1" ht="13" x14ac:dyDescent="0.3">
      <c r="A22" s="321"/>
      <c r="B22" s="4"/>
      <c r="C22" s="3" t="s">
        <v>1043</v>
      </c>
      <c r="D22" s="66" t="s">
        <v>1044</v>
      </c>
      <c r="E22" s="59"/>
      <c r="F22" s="58"/>
      <c r="G22" s="59"/>
      <c r="H22" s="59"/>
      <c r="I22" s="3"/>
      <c r="J22" s="3"/>
      <c r="K22" s="3"/>
      <c r="L22" s="3"/>
      <c r="M22" s="3"/>
      <c r="N22" s="3"/>
    </row>
    <row r="23" spans="1:14" s="2" customFormat="1" ht="13" x14ac:dyDescent="0.3">
      <c r="A23" s="5"/>
      <c r="B23" s="4"/>
      <c r="C23" s="3"/>
      <c r="D23" s="3"/>
      <c r="E23" s="3"/>
      <c r="F23" s="3"/>
      <c r="G23" s="58"/>
      <c r="H23" s="9"/>
      <c r="I23" s="3"/>
      <c r="J23" s="3"/>
      <c r="K23" s="3"/>
      <c r="L23" s="3"/>
      <c r="M23" s="3"/>
      <c r="N23" s="3"/>
    </row>
  </sheetData>
  <mergeCells count="3">
    <mergeCell ref="A16:A22"/>
    <mergeCell ref="C20:D20"/>
    <mergeCell ref="A7:A14"/>
  </mergeCells>
  <phoneticPr fontId="14" type="noConversion"/>
  <hyperlinks>
    <hyperlink ref="C4" location="Resettlement" display="Involuntary Resettlement" xr:uid="{2F5B3B6D-0A2A-4F6C-8E56-7CDD04A87830}"/>
    <hyperlink ref="C5" location="Proportion_of_bodies_of_water_with_good_ambient_water_quality__SDG_6.3.2" display="Proportion of bodies of water with good ambient water quality" xr:uid="{673F96BE-F3D1-48A8-B8B5-20000E465082}"/>
    <hyperlink ref="F1" location="Tab_Menu" display=" Back to Menu" xr:uid="{944108E3-131E-44B1-A53E-5A2CCA8E2637}"/>
  </hyperlink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7E0-D95F-461E-987F-FD46BB236453}">
  <dimension ref="A1:O68"/>
  <sheetViews>
    <sheetView showGridLines="0" zoomScale="90" zoomScaleNormal="90" workbookViewId="0">
      <pane xSplit="2" ySplit="11" topLeftCell="C12" activePane="bottomRight" state="frozen"/>
      <selection pane="topRight" activeCell="D1" sqref="D1"/>
      <selection pane="bottomLeft" activeCell="A3" sqref="A3"/>
      <selection pane="bottomRight" activeCell="D42" sqref="D42:I42"/>
    </sheetView>
  </sheetViews>
  <sheetFormatPr defaultRowHeight="14.5" x14ac:dyDescent="0.35"/>
  <cols>
    <col min="1" max="1" width="21.26953125" style="4" customWidth="1"/>
    <col min="2" max="2" width="4" style="4" customWidth="1"/>
    <col min="3" max="3" width="62" style="3" customWidth="1"/>
    <col min="4" max="4" width="24" style="3" customWidth="1"/>
    <col min="5" max="5" width="19.7265625" style="3" customWidth="1"/>
    <col min="6" max="6" width="13.54296875" style="3" customWidth="1"/>
    <col min="7" max="7" width="19.7265625" style="3" customWidth="1"/>
    <col min="8" max="8" width="37.1796875" style="3" customWidth="1"/>
    <col min="9" max="9" width="29" style="3" customWidth="1"/>
    <col min="10" max="10" width="15" style="3" customWidth="1"/>
    <col min="11" max="11" width="17.1796875" style="3" customWidth="1"/>
    <col min="12" max="12" width="15.54296875" style="3" bestFit="1" customWidth="1"/>
    <col min="13" max="13" width="16.54296875" style="3" bestFit="1" customWidth="1"/>
    <col min="14" max="15" width="9.1796875" style="1"/>
  </cols>
  <sheetData>
    <row r="1" spans="1:15" s="3" customFormat="1" ht="26" x14ac:dyDescent="0.3">
      <c r="A1" s="28" t="s">
        <v>811</v>
      </c>
      <c r="B1" s="4"/>
      <c r="C1" s="332" t="s">
        <v>1045</v>
      </c>
      <c r="D1" s="332"/>
      <c r="E1" s="332"/>
      <c r="F1" s="332"/>
      <c r="G1" s="332"/>
      <c r="H1" s="332"/>
      <c r="I1" s="232" t="s">
        <v>153</v>
      </c>
      <c r="N1" s="1"/>
      <c r="O1" s="1"/>
    </row>
    <row r="2" spans="1:15" s="3" customFormat="1" x14ac:dyDescent="0.3">
      <c r="A2" s="4"/>
      <c r="B2" s="4"/>
      <c r="C2" s="299" t="s">
        <v>1046</v>
      </c>
      <c r="D2" s="299"/>
      <c r="E2" s="299"/>
      <c r="F2" s="299"/>
      <c r="G2" s="299"/>
      <c r="N2" s="1"/>
      <c r="O2" s="1"/>
    </row>
    <row r="3" spans="1:15" s="3" customFormat="1" x14ac:dyDescent="0.3">
      <c r="A3" s="4"/>
      <c r="B3" s="4"/>
      <c r="N3" s="1"/>
      <c r="O3" s="1"/>
    </row>
    <row r="4" spans="1:15" s="3" customFormat="1" x14ac:dyDescent="0.3">
      <c r="A4" s="4"/>
      <c r="B4" s="4"/>
      <c r="C4" s="233" t="s">
        <v>606</v>
      </c>
      <c r="N4" s="1"/>
      <c r="O4" s="1"/>
    </row>
    <row r="5" spans="1:15" s="3" customFormat="1" x14ac:dyDescent="0.3">
      <c r="A5" s="4"/>
      <c r="B5" s="4"/>
      <c r="C5" s="219" t="s">
        <v>131</v>
      </c>
      <c r="N5" s="1"/>
      <c r="O5" s="1"/>
    </row>
    <row r="6" spans="1:15" s="3" customFormat="1" x14ac:dyDescent="0.3">
      <c r="A6" s="4"/>
      <c r="B6" s="4"/>
      <c r="C6" s="219" t="s">
        <v>133</v>
      </c>
      <c r="N6" s="1"/>
      <c r="O6" s="1"/>
    </row>
    <row r="7" spans="1:15" s="3" customFormat="1" x14ac:dyDescent="0.3">
      <c r="A7" s="4"/>
      <c r="B7" s="4"/>
      <c r="C7" s="219" t="s">
        <v>1047</v>
      </c>
      <c r="N7" s="1"/>
      <c r="O7" s="1"/>
    </row>
    <row r="8" spans="1:15" s="3" customFormat="1" x14ac:dyDescent="0.3">
      <c r="A8" s="4"/>
      <c r="B8" s="4"/>
      <c r="C8" s="219" t="s">
        <v>137</v>
      </c>
      <c r="N8" s="1"/>
      <c r="O8" s="1"/>
    </row>
    <row r="9" spans="1:15" s="3" customFormat="1" x14ac:dyDescent="0.3">
      <c r="A9" s="4"/>
      <c r="B9" s="4"/>
      <c r="C9" s="219" t="s">
        <v>1048</v>
      </c>
      <c r="N9" s="1"/>
      <c r="O9" s="1"/>
    </row>
    <row r="10" spans="1:15" s="3" customFormat="1" x14ac:dyDescent="0.3">
      <c r="A10" s="4"/>
      <c r="B10" s="4"/>
      <c r="C10" s="219" t="s">
        <v>1049</v>
      </c>
      <c r="N10" s="1"/>
      <c r="O10" s="1"/>
    </row>
    <row r="11" spans="1:15" s="3" customFormat="1" x14ac:dyDescent="0.3">
      <c r="A11" s="4"/>
      <c r="B11" s="4"/>
      <c r="N11" s="1"/>
      <c r="O11" s="1"/>
    </row>
    <row r="12" spans="1:15" x14ac:dyDescent="0.35">
      <c r="A12" s="322" t="s">
        <v>1050</v>
      </c>
      <c r="C12" s="3" t="s">
        <v>1051</v>
      </c>
      <c r="D12" s="74" t="s">
        <v>1052</v>
      </c>
      <c r="E12" s="74" t="s">
        <v>1053</v>
      </c>
      <c r="F12" s="74" t="s">
        <v>1054</v>
      </c>
      <c r="G12" s="74" t="s">
        <v>1055</v>
      </c>
      <c r="H12" s="74" t="s">
        <v>1056</v>
      </c>
      <c r="I12" s="3" t="s">
        <v>693</v>
      </c>
    </row>
    <row r="13" spans="1:15" x14ac:dyDescent="0.35">
      <c r="A13" s="322"/>
      <c r="C13" s="10" t="s">
        <v>1057</v>
      </c>
      <c r="D13" s="292">
        <v>504.7</v>
      </c>
      <c r="E13" s="289">
        <v>81.2</v>
      </c>
      <c r="F13" s="289">
        <v>0</v>
      </c>
      <c r="G13" s="289">
        <v>0</v>
      </c>
      <c r="H13" s="289">
        <v>0</v>
      </c>
      <c r="I13" s="289">
        <f>SUM(Table134101353[[#This Row],[Nicaragua]:[Head Office]])</f>
        <v>585.9</v>
      </c>
    </row>
    <row r="14" spans="1:15" x14ac:dyDescent="0.35">
      <c r="A14" s="322"/>
      <c r="C14" s="3" t="s">
        <v>1058</v>
      </c>
      <c r="D14" s="293">
        <f>SUM(D15:D20)</f>
        <v>402.4</v>
      </c>
      <c r="E14" s="290">
        <f t="shared" ref="E14:H14" si="0">SUM(E15:E20)</f>
        <v>70.5</v>
      </c>
      <c r="F14" s="290">
        <f t="shared" si="0"/>
        <v>372.1</v>
      </c>
      <c r="G14" s="290">
        <f t="shared" si="0"/>
        <v>43</v>
      </c>
      <c r="H14" s="290">
        <f t="shared" si="0"/>
        <v>9.1</v>
      </c>
      <c r="I14" s="290">
        <f>SUM(Table134101353[[#This Row],[Nicaragua]:[Head Office]])</f>
        <v>897.1</v>
      </c>
    </row>
    <row r="15" spans="1:15" x14ac:dyDescent="0.35">
      <c r="A15" s="322"/>
      <c r="C15" s="8" t="s">
        <v>1059</v>
      </c>
      <c r="D15" s="293">
        <v>221.3</v>
      </c>
      <c r="E15" s="290">
        <v>39.700000000000003</v>
      </c>
      <c r="F15" s="290">
        <v>0</v>
      </c>
      <c r="G15" s="290">
        <v>0</v>
      </c>
      <c r="H15" s="290">
        <v>0</v>
      </c>
      <c r="I15" s="290">
        <f>SUM(Table134101353[[#This Row],[Nicaragua]:[Head Office]])</f>
        <v>261</v>
      </c>
    </row>
    <row r="16" spans="1:15" x14ac:dyDescent="0.35">
      <c r="A16" s="322"/>
      <c r="C16" s="8" t="s">
        <v>1060</v>
      </c>
      <c r="D16" s="293">
        <v>81.599999999999994</v>
      </c>
      <c r="E16" s="290">
        <v>17.600000000000001</v>
      </c>
      <c r="F16" s="290">
        <v>334.90000000000003</v>
      </c>
      <c r="G16" s="290">
        <v>39.1</v>
      </c>
      <c r="H16" s="290">
        <v>0.1</v>
      </c>
      <c r="I16" s="290">
        <f>SUM(Table134101353[[#This Row],[Nicaragua]:[Head Office]])</f>
        <v>473.30000000000007</v>
      </c>
    </row>
    <row r="17" spans="1:9" x14ac:dyDescent="0.35">
      <c r="A17" s="322"/>
      <c r="C17" s="8" t="s">
        <v>1061</v>
      </c>
      <c r="D17" s="293">
        <v>40</v>
      </c>
      <c r="E17" s="290">
        <v>8.3000000000000007</v>
      </c>
      <c r="F17" s="290">
        <v>24.4</v>
      </c>
      <c r="G17" s="290">
        <v>3.9</v>
      </c>
      <c r="H17" s="290">
        <v>9</v>
      </c>
      <c r="I17" s="290">
        <f>SUM(Table134101353[[#This Row],[Nicaragua]:[Head Office]])</f>
        <v>85.6</v>
      </c>
    </row>
    <row r="18" spans="1:9" x14ac:dyDescent="0.35">
      <c r="A18" s="322"/>
      <c r="C18" s="8" t="s">
        <v>1062</v>
      </c>
      <c r="D18" s="293">
        <v>1.5</v>
      </c>
      <c r="E18" s="290">
        <v>0</v>
      </c>
      <c r="F18" s="290">
        <v>12.8</v>
      </c>
      <c r="G18" s="290">
        <v>0</v>
      </c>
      <c r="H18" s="290">
        <v>0</v>
      </c>
      <c r="I18" s="290">
        <f>SUM(Table134101353[[#This Row],[Nicaragua]:[Head Office]])</f>
        <v>14.3</v>
      </c>
    </row>
    <row r="19" spans="1:9" x14ac:dyDescent="0.35">
      <c r="A19" s="322"/>
      <c r="C19" s="8" t="s">
        <v>1063</v>
      </c>
      <c r="D19" s="293">
        <v>53.9</v>
      </c>
      <c r="E19" s="290">
        <v>4.8</v>
      </c>
      <c r="F19" s="290">
        <v>0</v>
      </c>
      <c r="G19" s="290">
        <v>0</v>
      </c>
      <c r="H19" s="290">
        <v>0</v>
      </c>
      <c r="I19" s="290">
        <f>SUM(Table134101353[[#This Row],[Nicaragua]:[Head Office]])</f>
        <v>58.699999999999996</v>
      </c>
    </row>
    <row r="20" spans="1:9" x14ac:dyDescent="0.35">
      <c r="A20" s="322"/>
      <c r="C20" s="3" t="s">
        <v>1064</v>
      </c>
      <c r="D20" s="293">
        <v>4.0999999999999996</v>
      </c>
      <c r="E20" s="290">
        <v>0.1</v>
      </c>
      <c r="F20" s="290">
        <v>0</v>
      </c>
      <c r="G20" s="290">
        <v>0</v>
      </c>
      <c r="H20" s="290">
        <v>0</v>
      </c>
      <c r="I20" s="290">
        <f>SUM(Table134101353[[#This Row],[Nicaragua]:[Head Office]])</f>
        <v>4.1999999999999993</v>
      </c>
    </row>
    <row r="21" spans="1:9" x14ac:dyDescent="0.35">
      <c r="A21" s="322"/>
      <c r="C21" s="3" t="s">
        <v>1065</v>
      </c>
      <c r="D21" s="293">
        <f>D13-D14</f>
        <v>102.30000000000001</v>
      </c>
      <c r="E21" s="290">
        <f t="shared" ref="E21:H21" si="1">E13-E14</f>
        <v>10.700000000000003</v>
      </c>
      <c r="F21" s="290">
        <f t="shared" si="1"/>
        <v>-372.1</v>
      </c>
      <c r="G21" s="290">
        <f t="shared" si="1"/>
        <v>-43</v>
      </c>
      <c r="H21" s="290">
        <f t="shared" si="1"/>
        <v>-9.1</v>
      </c>
      <c r="I21" s="290">
        <f>SUM(Table134101353[[#This Row],[Nicaragua]:[Head Office]])</f>
        <v>-311.20000000000005</v>
      </c>
    </row>
    <row r="22" spans="1:9" ht="150" customHeight="1" x14ac:dyDescent="0.35">
      <c r="A22" s="322"/>
      <c r="C22" s="319" t="s">
        <v>1066</v>
      </c>
      <c r="D22" s="319"/>
      <c r="E22" s="319"/>
      <c r="F22" s="319"/>
      <c r="G22" s="319"/>
      <c r="H22" s="319"/>
      <c r="I22" s="319"/>
    </row>
    <row r="23" spans="1:9" x14ac:dyDescent="0.35">
      <c r="A23" s="103"/>
    </row>
    <row r="24" spans="1:9" ht="29.25" customHeight="1" x14ac:dyDescent="0.35">
      <c r="A24" s="322" t="s">
        <v>1067</v>
      </c>
      <c r="C24" s="130" t="s">
        <v>1068</v>
      </c>
      <c r="D24" s="130" t="s">
        <v>612</v>
      </c>
      <c r="E24" s="130" t="s">
        <v>1069</v>
      </c>
      <c r="F24" s="130" t="s">
        <v>1070</v>
      </c>
      <c r="G24" s="130" t="s">
        <v>1071</v>
      </c>
      <c r="H24" s="3" t="s">
        <v>1072</v>
      </c>
      <c r="I24" s="3" t="s">
        <v>1073</v>
      </c>
    </row>
    <row r="25" spans="1:9" ht="57.75" customHeight="1" x14ac:dyDescent="0.35">
      <c r="A25" s="322"/>
      <c r="C25" s="10" t="s">
        <v>1074</v>
      </c>
      <c r="D25" s="3" t="s">
        <v>1075</v>
      </c>
      <c r="E25" s="3" t="s">
        <v>1076</v>
      </c>
      <c r="F25" s="105" t="s">
        <v>1077</v>
      </c>
      <c r="G25" s="9" t="s">
        <v>1078</v>
      </c>
      <c r="H25" s="3" t="s">
        <v>1079</v>
      </c>
      <c r="I25" s="3" t="s">
        <v>1080</v>
      </c>
    </row>
    <row r="26" spans="1:9" s="3" customFormat="1" ht="78" x14ac:dyDescent="0.3">
      <c r="A26" s="322"/>
      <c r="B26" s="4"/>
      <c r="C26" s="10" t="s">
        <v>1081</v>
      </c>
      <c r="D26" s="3" t="s">
        <v>1075</v>
      </c>
      <c r="E26" s="3" t="s">
        <v>1076</v>
      </c>
      <c r="F26" s="105" t="s">
        <v>1082</v>
      </c>
      <c r="G26" s="9" t="s">
        <v>1078</v>
      </c>
      <c r="H26" s="3" t="s">
        <v>1083</v>
      </c>
      <c r="I26" s="3" t="s">
        <v>1084</v>
      </c>
    </row>
    <row r="27" spans="1:9" s="3" customFormat="1" ht="84.75" customHeight="1" x14ac:dyDescent="0.3">
      <c r="A27" s="322"/>
      <c r="B27" s="4"/>
      <c r="C27" s="10" t="s">
        <v>1085</v>
      </c>
      <c r="D27" s="3" t="s">
        <v>1075</v>
      </c>
      <c r="E27" s="3" t="s">
        <v>1076</v>
      </c>
      <c r="F27" s="105" t="s">
        <v>1086</v>
      </c>
      <c r="G27" s="9" t="s">
        <v>1078</v>
      </c>
      <c r="H27" s="3" t="s">
        <v>1087</v>
      </c>
      <c r="I27" s="3" t="s">
        <v>1088</v>
      </c>
    </row>
    <row r="28" spans="1:9" s="3" customFormat="1" ht="70.5" customHeight="1" x14ac:dyDescent="0.3">
      <c r="A28" s="322"/>
      <c r="B28" s="4"/>
      <c r="C28" s="10" t="s">
        <v>1089</v>
      </c>
      <c r="D28" s="3" t="s">
        <v>1090</v>
      </c>
      <c r="E28" s="3" t="s">
        <v>1076</v>
      </c>
      <c r="F28" s="105" t="s">
        <v>1091</v>
      </c>
      <c r="G28" s="9" t="s">
        <v>1092</v>
      </c>
      <c r="H28" s="3" t="s">
        <v>1093</v>
      </c>
      <c r="I28" s="3" t="s">
        <v>1094</v>
      </c>
    </row>
    <row r="29" spans="1:9" s="3" customFormat="1" ht="117" x14ac:dyDescent="0.3">
      <c r="A29" s="322"/>
      <c r="B29" s="4"/>
      <c r="C29" s="10" t="s">
        <v>1095</v>
      </c>
      <c r="D29" s="3" t="s">
        <v>1096</v>
      </c>
      <c r="E29" s="3" t="s">
        <v>1076</v>
      </c>
      <c r="F29" s="105" t="s">
        <v>1097</v>
      </c>
      <c r="G29" s="106" t="s">
        <v>1098</v>
      </c>
      <c r="H29" s="3" t="s">
        <v>1099</v>
      </c>
      <c r="I29" s="3" t="s">
        <v>1100</v>
      </c>
    </row>
    <row r="30" spans="1:9" s="3" customFormat="1" ht="94.5" customHeight="1" x14ac:dyDescent="0.3">
      <c r="A30" s="322"/>
      <c r="B30" s="4"/>
      <c r="C30" s="10" t="s">
        <v>1101</v>
      </c>
      <c r="D30" s="3" t="s">
        <v>1102</v>
      </c>
      <c r="E30" s="3" t="s">
        <v>1103</v>
      </c>
      <c r="F30" s="105" t="s">
        <v>1104</v>
      </c>
      <c r="G30" s="9" t="s">
        <v>1105</v>
      </c>
      <c r="H30" s="3" t="s">
        <v>1106</v>
      </c>
      <c r="I30" s="3" t="s">
        <v>1107</v>
      </c>
    </row>
    <row r="31" spans="1:9" s="3" customFormat="1" ht="72" customHeight="1" x14ac:dyDescent="0.3">
      <c r="A31" s="322"/>
      <c r="B31" s="4"/>
      <c r="C31" s="10" t="s">
        <v>1108</v>
      </c>
      <c r="D31" s="3" t="s">
        <v>1109</v>
      </c>
      <c r="E31" s="3" t="s">
        <v>1110</v>
      </c>
      <c r="F31" s="105" t="s">
        <v>726</v>
      </c>
      <c r="G31" s="9" t="s">
        <v>1111</v>
      </c>
      <c r="H31" s="3" t="s">
        <v>1112</v>
      </c>
      <c r="I31" s="3" t="s">
        <v>1113</v>
      </c>
    </row>
    <row r="32" spans="1:9" s="3" customFormat="1" ht="81" customHeight="1" x14ac:dyDescent="0.3">
      <c r="A32" s="322"/>
      <c r="B32" s="4"/>
      <c r="C32" s="10" t="s">
        <v>1114</v>
      </c>
      <c r="D32" s="3" t="s">
        <v>1115</v>
      </c>
      <c r="E32" s="3" t="s">
        <v>1076</v>
      </c>
      <c r="F32" s="105" t="s">
        <v>1116</v>
      </c>
      <c r="G32" s="9" t="s">
        <v>1117</v>
      </c>
      <c r="H32" s="3" t="s">
        <v>1118</v>
      </c>
      <c r="I32" s="3" t="s">
        <v>1119</v>
      </c>
    </row>
    <row r="33" spans="1:15" ht="97.5" customHeight="1" x14ac:dyDescent="0.35">
      <c r="A33" s="322"/>
      <c r="C33" s="10" t="s">
        <v>1120</v>
      </c>
      <c r="D33" s="3" t="s">
        <v>1115</v>
      </c>
      <c r="E33" s="3" t="s">
        <v>1076</v>
      </c>
      <c r="F33" s="105" t="s">
        <v>1121</v>
      </c>
      <c r="G33" s="9" t="s">
        <v>1122</v>
      </c>
      <c r="H33" s="3" t="s">
        <v>1123</v>
      </c>
      <c r="I33" s="3" t="s">
        <v>1119</v>
      </c>
    </row>
    <row r="34" spans="1:15" s="3" customFormat="1" ht="81.75" customHeight="1" x14ac:dyDescent="0.3">
      <c r="A34" s="322"/>
      <c r="B34" s="4"/>
      <c r="C34" s="10" t="s">
        <v>1089</v>
      </c>
      <c r="D34" s="3" t="s">
        <v>1124</v>
      </c>
      <c r="E34" s="3" t="s">
        <v>1076</v>
      </c>
      <c r="F34" s="105" t="s">
        <v>1125</v>
      </c>
      <c r="G34" s="9" t="s">
        <v>1126</v>
      </c>
      <c r="H34" s="3" t="s">
        <v>1127</v>
      </c>
      <c r="I34" s="3" t="s">
        <v>1094</v>
      </c>
    </row>
    <row r="35" spans="1:15" s="3" customFormat="1" x14ac:dyDescent="0.3">
      <c r="A35" s="103"/>
      <c r="B35" s="4"/>
      <c r="N35" s="1"/>
      <c r="O35" s="1"/>
    </row>
    <row r="36" spans="1:15" s="3" customFormat="1" ht="32.25" customHeight="1" x14ac:dyDescent="0.3">
      <c r="A36" s="322" t="s">
        <v>1128</v>
      </c>
      <c r="B36" s="4"/>
      <c r="C36" s="336" t="s">
        <v>1129</v>
      </c>
      <c r="D36" s="337"/>
      <c r="E36" s="337"/>
      <c r="F36" s="337"/>
      <c r="G36" s="337"/>
      <c r="H36" s="337"/>
      <c r="I36" s="338"/>
      <c r="N36" s="1"/>
      <c r="O36" s="1"/>
    </row>
    <row r="37" spans="1:15" s="3" customFormat="1" ht="80.25" customHeight="1" x14ac:dyDescent="0.3">
      <c r="A37" s="322"/>
      <c r="B37" s="4"/>
      <c r="C37" s="119" t="s">
        <v>1130</v>
      </c>
      <c r="D37" s="299" t="s">
        <v>1131</v>
      </c>
      <c r="E37" s="299"/>
      <c r="F37" s="299"/>
      <c r="G37" s="299"/>
      <c r="H37" s="299"/>
      <c r="I37" s="333"/>
      <c r="N37" s="1"/>
      <c r="O37" s="1"/>
    </row>
    <row r="38" spans="1:15" s="3" customFormat="1" ht="17.25" customHeight="1" x14ac:dyDescent="0.3">
      <c r="A38" s="322"/>
      <c r="B38" s="4"/>
      <c r="C38" s="119" t="s">
        <v>1132</v>
      </c>
      <c r="D38" s="299" t="s">
        <v>1133</v>
      </c>
      <c r="E38" s="299"/>
      <c r="F38" s="299"/>
      <c r="G38" s="299"/>
      <c r="H38" s="299"/>
      <c r="I38" s="333"/>
      <c r="N38" s="1"/>
      <c r="O38" s="1"/>
    </row>
    <row r="39" spans="1:15" s="3" customFormat="1" ht="58.5" customHeight="1" x14ac:dyDescent="0.3">
      <c r="A39" s="322"/>
      <c r="B39" s="4"/>
      <c r="C39" s="119" t="s">
        <v>1134</v>
      </c>
      <c r="D39" s="299" t="s">
        <v>1135</v>
      </c>
      <c r="E39" s="299"/>
      <c r="F39" s="299"/>
      <c r="G39" s="299"/>
      <c r="H39" s="299"/>
      <c r="I39" s="333"/>
      <c r="N39" s="1"/>
      <c r="O39" s="1"/>
    </row>
    <row r="40" spans="1:15" s="3" customFormat="1" x14ac:dyDescent="0.3">
      <c r="A40" s="322"/>
      <c r="B40" s="4"/>
      <c r="C40" s="119" t="s">
        <v>1136</v>
      </c>
      <c r="D40" s="299" t="s">
        <v>1137</v>
      </c>
      <c r="E40" s="299"/>
      <c r="F40" s="299"/>
      <c r="G40" s="299"/>
      <c r="H40" s="299"/>
      <c r="I40" s="333"/>
      <c r="N40" s="1"/>
      <c r="O40" s="1"/>
    </row>
    <row r="41" spans="1:15" s="3" customFormat="1" ht="34.5" customHeight="1" x14ac:dyDescent="0.3">
      <c r="A41" s="322"/>
      <c r="B41" s="4"/>
      <c r="C41" s="119" t="s">
        <v>1138</v>
      </c>
      <c r="D41" s="299" t="s">
        <v>1139</v>
      </c>
      <c r="E41" s="299"/>
      <c r="F41" s="299"/>
      <c r="G41" s="299"/>
      <c r="H41" s="299"/>
      <c r="I41" s="333"/>
      <c r="N41" s="1"/>
      <c r="O41" s="1"/>
    </row>
    <row r="42" spans="1:15" s="3" customFormat="1" ht="30.75" customHeight="1" x14ac:dyDescent="0.3">
      <c r="A42" s="322"/>
      <c r="B42" s="4"/>
      <c r="C42" s="119" t="s">
        <v>1140</v>
      </c>
      <c r="D42" s="299" t="s">
        <v>1141</v>
      </c>
      <c r="E42" s="299"/>
      <c r="F42" s="299"/>
      <c r="G42" s="299"/>
      <c r="H42" s="299"/>
      <c r="I42" s="333"/>
      <c r="N42" s="1"/>
      <c r="O42" s="1"/>
    </row>
    <row r="43" spans="1:15" ht="67.5" customHeight="1" x14ac:dyDescent="0.35">
      <c r="A43" s="322"/>
      <c r="C43" s="120" t="s">
        <v>1142</v>
      </c>
      <c r="D43" s="334" t="s">
        <v>1143</v>
      </c>
      <c r="E43" s="334"/>
      <c r="F43" s="334"/>
      <c r="G43" s="334"/>
      <c r="H43" s="334"/>
      <c r="I43" s="335"/>
    </row>
    <row r="44" spans="1:15" ht="32.25" customHeight="1" x14ac:dyDescent="0.35">
      <c r="A44" s="322"/>
      <c r="C44" s="339" t="s">
        <v>1144</v>
      </c>
      <c r="D44" s="319"/>
      <c r="E44" s="319"/>
      <c r="F44" s="319"/>
      <c r="G44" s="319"/>
      <c r="H44" s="319"/>
      <c r="I44" s="319"/>
    </row>
    <row r="45" spans="1:15" x14ac:dyDescent="0.35">
      <c r="A45" s="104"/>
    </row>
    <row r="46" spans="1:15" x14ac:dyDescent="0.35">
      <c r="A46" s="322" t="s">
        <v>1145</v>
      </c>
      <c r="C46" s="3" t="s">
        <v>1146</v>
      </c>
      <c r="D46" s="3" t="s">
        <v>608</v>
      </c>
      <c r="E46" s="3" t="s">
        <v>609</v>
      </c>
      <c r="F46" s="3" t="s">
        <v>610</v>
      </c>
      <c r="G46" s="42" t="s">
        <v>693</v>
      </c>
    </row>
    <row r="47" spans="1:15" x14ac:dyDescent="0.35">
      <c r="A47" s="322"/>
      <c r="C47" s="3" t="s">
        <v>1147</v>
      </c>
      <c r="D47" s="54">
        <v>6.3579145583777391E-2</v>
      </c>
      <c r="E47" s="54">
        <v>0.12095210111180639</v>
      </c>
      <c r="F47" s="54">
        <v>0.83415688526502441</v>
      </c>
      <c r="G47" s="54">
        <v>0.26876377703215693</v>
      </c>
    </row>
    <row r="48" spans="1:15" x14ac:dyDescent="0.35">
      <c r="A48" s="322"/>
      <c r="C48" s="3" t="s">
        <v>1148</v>
      </c>
      <c r="D48" s="54">
        <v>0.71640795235981991</v>
      </c>
      <c r="E48" s="54">
        <v>0.72136391939397082</v>
      </c>
      <c r="F48" s="54">
        <v>0.15093178377028701</v>
      </c>
      <c r="G48" s="54">
        <v>0.58944014104159104</v>
      </c>
    </row>
    <row r="49" spans="1:15" x14ac:dyDescent="0.35">
      <c r="A49" s="322"/>
      <c r="C49" s="3" t="s">
        <v>895</v>
      </c>
      <c r="D49" s="54">
        <v>0.22001290205640286</v>
      </c>
      <c r="E49" s="54">
        <v>0.1576839794942228</v>
      </c>
      <c r="F49" s="54">
        <v>1.4911330964688585E-2</v>
      </c>
      <c r="G49" s="54">
        <v>0.14179608192625207</v>
      </c>
    </row>
    <row r="50" spans="1:15" ht="62.25" customHeight="1" x14ac:dyDescent="0.35">
      <c r="A50" s="104"/>
      <c r="C50" s="319" t="s">
        <v>1149</v>
      </c>
      <c r="D50" s="319"/>
      <c r="E50" s="319"/>
      <c r="F50" s="319"/>
      <c r="G50" s="319"/>
    </row>
    <row r="51" spans="1:15" x14ac:dyDescent="0.35">
      <c r="A51" s="104"/>
    </row>
    <row r="52" spans="1:15" ht="17.25" customHeight="1" x14ac:dyDescent="0.35">
      <c r="A52" s="322" t="s">
        <v>1150</v>
      </c>
      <c r="C52" s="107" t="s">
        <v>1151</v>
      </c>
      <c r="D52" s="108" t="s">
        <v>608</v>
      </c>
      <c r="E52" s="108" t="s">
        <v>609</v>
      </c>
      <c r="F52" s="109" t="s">
        <v>610</v>
      </c>
    </row>
    <row r="53" spans="1:15" x14ac:dyDescent="0.35">
      <c r="A53" s="322"/>
      <c r="C53" s="110" t="s">
        <v>1147</v>
      </c>
      <c r="D53" s="111"/>
      <c r="E53" s="111"/>
      <c r="F53" s="112"/>
    </row>
    <row r="54" spans="1:15" x14ac:dyDescent="0.35">
      <c r="A54" s="322"/>
      <c r="C54" s="113" t="s">
        <v>1152</v>
      </c>
      <c r="D54" s="114">
        <v>0.6987951807228916</v>
      </c>
      <c r="E54" s="114">
        <v>0.63561076604554867</v>
      </c>
      <c r="F54" s="115">
        <v>0.69565217391304346</v>
      </c>
    </row>
    <row r="55" spans="1:15" x14ac:dyDescent="0.35">
      <c r="A55" s="322"/>
      <c r="C55" s="113" t="s">
        <v>891</v>
      </c>
      <c r="D55" s="114">
        <v>8.6058519793459548E-2</v>
      </c>
      <c r="E55" s="114">
        <v>0.14492753623188406</v>
      </c>
      <c r="F55" s="115">
        <v>0.13043478260869565</v>
      </c>
    </row>
    <row r="56" spans="1:15" x14ac:dyDescent="0.35">
      <c r="A56" s="322"/>
      <c r="C56" s="110" t="s">
        <v>1148</v>
      </c>
      <c r="D56" s="111"/>
      <c r="E56" s="111"/>
      <c r="F56" s="112"/>
    </row>
    <row r="57" spans="1:15" x14ac:dyDescent="0.35">
      <c r="A57" s="322"/>
      <c r="C57" s="113" t="s">
        <v>1152</v>
      </c>
      <c r="D57" s="114">
        <v>0.14974182444061962</v>
      </c>
      <c r="E57" s="114">
        <v>0.12836438923395446</v>
      </c>
      <c r="F57" s="115">
        <v>0.10144927536231885</v>
      </c>
    </row>
    <row r="58" spans="1:15" x14ac:dyDescent="0.35">
      <c r="A58" s="322"/>
      <c r="C58" s="113" t="s">
        <v>891</v>
      </c>
      <c r="D58" s="114">
        <v>2.7538726333907058E-2</v>
      </c>
      <c r="E58" s="114">
        <v>2.8985507246376812E-2</v>
      </c>
      <c r="F58" s="115">
        <v>4.3478260869565216E-2</v>
      </c>
    </row>
    <row r="59" spans="1:15" x14ac:dyDescent="0.35">
      <c r="A59" s="322"/>
      <c r="C59" s="110" t="s">
        <v>895</v>
      </c>
      <c r="D59" s="111"/>
      <c r="E59" s="111"/>
      <c r="F59" s="112"/>
    </row>
    <row r="60" spans="1:15" x14ac:dyDescent="0.35">
      <c r="A60" s="322"/>
      <c r="C60" s="113" t="s">
        <v>1152</v>
      </c>
      <c r="D60" s="114">
        <v>3.2702237521514632E-2</v>
      </c>
      <c r="E60" s="114">
        <v>5.5900621118012424E-2</v>
      </c>
      <c r="F60" s="115">
        <v>1.4492753623188406E-2</v>
      </c>
    </row>
    <row r="61" spans="1:15" x14ac:dyDescent="0.35">
      <c r="A61" s="322"/>
      <c r="C61" s="116" t="s">
        <v>891</v>
      </c>
      <c r="D61" s="117">
        <v>5.1635111876075735E-3</v>
      </c>
      <c r="E61" s="117">
        <v>6.2111801242236021E-3</v>
      </c>
      <c r="F61" s="118">
        <v>1.4492753623188406E-2</v>
      </c>
    </row>
    <row r="62" spans="1:15" ht="90.75" customHeight="1" x14ac:dyDescent="0.35">
      <c r="A62" s="322"/>
      <c r="C62" s="331" t="s">
        <v>1153</v>
      </c>
      <c r="D62" s="331"/>
      <c r="E62" s="331"/>
      <c r="F62" s="331"/>
      <c r="G62" s="45"/>
    </row>
    <row r="64" spans="1:15" x14ac:dyDescent="0.35">
      <c r="A64" s="321" t="s">
        <v>1154</v>
      </c>
      <c r="C64" s="3" t="s">
        <v>1155</v>
      </c>
      <c r="D64" s="42" t="s">
        <v>693</v>
      </c>
      <c r="K64" s="1"/>
      <c r="L64" s="1"/>
      <c r="M64"/>
      <c r="N64"/>
      <c r="O64"/>
    </row>
    <row r="65" spans="1:15" x14ac:dyDescent="0.35">
      <c r="A65" s="321"/>
      <c r="C65" s="10" t="s">
        <v>1156</v>
      </c>
      <c r="D65" s="46">
        <v>0.5</v>
      </c>
      <c r="K65" s="1"/>
      <c r="L65" s="1"/>
      <c r="M65"/>
      <c r="N65"/>
      <c r="O65"/>
    </row>
    <row r="66" spans="1:15" x14ac:dyDescent="0.35">
      <c r="A66" s="321"/>
      <c r="C66" s="8" t="s">
        <v>890</v>
      </c>
      <c r="D66" s="11">
        <v>0.8</v>
      </c>
      <c r="K66" s="1"/>
    </row>
    <row r="67" spans="1:15" x14ac:dyDescent="0.35">
      <c r="A67" s="321"/>
      <c r="C67" s="8" t="s">
        <v>891</v>
      </c>
      <c r="D67" s="11">
        <v>0.2</v>
      </c>
      <c r="K67" s="1"/>
    </row>
    <row r="68" spans="1:15" ht="72.75" customHeight="1" x14ac:dyDescent="0.35">
      <c r="A68" s="321"/>
      <c r="C68" s="319" t="s">
        <v>1157</v>
      </c>
      <c r="D68" s="319"/>
      <c r="E68" s="45"/>
      <c r="F68" s="45"/>
      <c r="G68" s="45"/>
    </row>
  </sheetData>
  <mergeCells count="21">
    <mergeCell ref="C1:H1"/>
    <mergeCell ref="C68:D68"/>
    <mergeCell ref="A46:A49"/>
    <mergeCell ref="D42:I42"/>
    <mergeCell ref="D43:I43"/>
    <mergeCell ref="C50:G50"/>
    <mergeCell ref="A12:A22"/>
    <mergeCell ref="A24:A34"/>
    <mergeCell ref="C36:I36"/>
    <mergeCell ref="D37:I37"/>
    <mergeCell ref="D38:I38"/>
    <mergeCell ref="D39:I39"/>
    <mergeCell ref="D41:I41"/>
    <mergeCell ref="D40:I40"/>
    <mergeCell ref="C44:I44"/>
    <mergeCell ref="C2:G2"/>
    <mergeCell ref="C62:F62"/>
    <mergeCell ref="A52:A62"/>
    <mergeCell ref="A36:A44"/>
    <mergeCell ref="A64:A68"/>
    <mergeCell ref="C22:I22"/>
  </mergeCells>
  <phoneticPr fontId="14" type="noConversion"/>
  <hyperlinks>
    <hyperlink ref="C5" location="Direct_Economic_Value_" display="Direct Economic Value Generated and Distributed" xr:uid="{5F5D956D-845A-40BC-8159-D0B930463CBD}"/>
    <hyperlink ref="C6" location="Infrastructure_Investments" display="Infrastructure Investments and Services Supported" xr:uid="{FAB7B674-4DBE-47A3-A23F-408F354FB13E}"/>
    <hyperlink ref="C7" location="Significant_Indirect_Economic_Impacts__GRI_203_2" display="Significant Indirect Economic Impacts" xr:uid="{2535BB2F-330F-4606-8570-EAA7CBD23F6D}"/>
    <hyperlink ref="C8" location="Proportion_of_Spending_on_Local_Suppliers__GRI_204_1__14.9.5" display="Proportion of Spending on Local Suppliers" xr:uid="{45545E1F-D305-421C-A885-31899BF1DD81}"/>
    <hyperlink ref="C9" location="Workers_Hired_from_the_Loca" display="Workers Hired from the Local Community" xr:uid="{2340934E-16DA-4C78-932D-3C72EB757DE9}"/>
    <hyperlink ref="C10" location="Senior_Management_Hired" display="Senior Management Hired from the Local Community " xr:uid="{7E472CE8-B40E-435D-B7AE-A13793A1B063}"/>
    <hyperlink ref="I1" location="Tab_Menu" display=" Back to Menu" xr:uid="{377F5040-3007-4DF7-92D8-5C761237F49C}"/>
  </hyperlinks>
  <pageMargins left="0.7" right="0.7" top="0.75" bottom="0.75" header="0.3" footer="0.3"/>
  <tableParts count="4">
    <tablePart r:id="rId1"/>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6E19-097E-4F92-9059-6D4692BA4884}">
  <dimension ref="A1:O38"/>
  <sheetViews>
    <sheetView showGridLines="0" zoomScaleNormal="100" workbookViewId="0">
      <pane xSplit="1" ySplit="6" topLeftCell="B7" activePane="bottomRight" state="frozen"/>
      <selection pane="topRight" activeCell="D1" sqref="D1"/>
      <selection pane="bottomLeft" activeCell="A3" sqref="A3"/>
      <selection pane="bottomRight" activeCell="C11" sqref="C11:E11"/>
    </sheetView>
  </sheetViews>
  <sheetFormatPr defaultRowHeight="14.5" x14ac:dyDescent="0.35"/>
  <cols>
    <col min="1" max="1" width="29.54296875" style="16" customWidth="1"/>
    <col min="2" max="2" width="4" style="16" customWidth="1"/>
    <col min="3" max="3" width="66.1796875" style="3" customWidth="1"/>
    <col min="4" max="4" width="24.54296875" style="3" customWidth="1"/>
    <col min="5" max="5" width="23.81640625" style="3" customWidth="1"/>
    <col min="6" max="6" width="19" style="3" customWidth="1"/>
    <col min="7" max="7" width="15.1796875" style="3" customWidth="1"/>
    <col min="8" max="13" width="9.1796875" style="3"/>
    <col min="14" max="15" width="9.1796875" style="1"/>
  </cols>
  <sheetData>
    <row r="1" spans="1:15" ht="16" x14ac:dyDescent="0.35">
      <c r="A1" s="16" t="s">
        <v>811</v>
      </c>
      <c r="C1" s="326" t="s">
        <v>1158</v>
      </c>
      <c r="D1" s="326"/>
      <c r="E1" s="326"/>
      <c r="F1" s="326"/>
      <c r="G1" s="232" t="s">
        <v>153</v>
      </c>
    </row>
    <row r="2" spans="1:15" ht="16" x14ac:dyDescent="0.35">
      <c r="C2" s="220"/>
      <c r="D2" s="220"/>
      <c r="E2" s="220"/>
      <c r="F2" s="220"/>
      <c r="G2" s="127"/>
    </row>
    <row r="3" spans="1:15" ht="16" x14ac:dyDescent="0.35">
      <c r="C3" s="233" t="s">
        <v>606</v>
      </c>
      <c r="D3" s="220"/>
      <c r="E3" s="220"/>
      <c r="F3" s="220"/>
      <c r="G3" s="127"/>
    </row>
    <row r="4" spans="1:15" ht="16" x14ac:dyDescent="0.35">
      <c r="C4" s="219" t="s">
        <v>145</v>
      </c>
      <c r="D4" s="220"/>
      <c r="E4" s="220"/>
      <c r="F4" s="220"/>
      <c r="G4" s="127"/>
    </row>
    <row r="5" spans="1:15" ht="16" x14ac:dyDescent="0.35">
      <c r="C5" s="219" t="s">
        <v>146</v>
      </c>
      <c r="D5" s="220"/>
      <c r="E5" s="220"/>
      <c r="F5" s="220"/>
      <c r="G5" s="127"/>
    </row>
    <row r="6" spans="1:15" ht="16" x14ac:dyDescent="0.35">
      <c r="C6" s="220"/>
      <c r="D6" s="220"/>
      <c r="E6" s="220"/>
      <c r="F6" s="220"/>
      <c r="G6" s="127"/>
    </row>
    <row r="7" spans="1:15" x14ac:dyDescent="0.35">
      <c r="A7" s="321" t="s">
        <v>1159</v>
      </c>
      <c r="C7" s="3" t="s">
        <v>1160</v>
      </c>
      <c r="D7" s="3" t="s">
        <v>1161</v>
      </c>
      <c r="E7" s="3" t="s">
        <v>1162</v>
      </c>
      <c r="L7" s="1"/>
      <c r="M7" s="1"/>
      <c r="N7"/>
      <c r="O7"/>
    </row>
    <row r="8" spans="1:15" x14ac:dyDescent="0.35">
      <c r="A8" s="321"/>
      <c r="C8" s="44" t="s">
        <v>886</v>
      </c>
      <c r="D8" s="291">
        <f>SUM(D9:D10)</f>
        <v>1</v>
      </c>
      <c r="E8" s="291">
        <f>SUM(E9:E10)</f>
        <v>1</v>
      </c>
      <c r="L8" s="1"/>
      <c r="M8" s="1"/>
      <c r="N8"/>
      <c r="O8"/>
    </row>
    <row r="9" spans="1:15" x14ac:dyDescent="0.35">
      <c r="A9" s="321"/>
      <c r="C9" s="3" t="s">
        <v>890</v>
      </c>
      <c r="D9" s="54">
        <v>0.56000000000000005</v>
      </c>
      <c r="E9" s="54">
        <v>0.9</v>
      </c>
      <c r="L9" s="1"/>
      <c r="M9" s="1"/>
      <c r="N9"/>
      <c r="O9"/>
    </row>
    <row r="10" spans="1:15" x14ac:dyDescent="0.35">
      <c r="A10" s="321"/>
      <c r="C10" s="3" t="s">
        <v>891</v>
      </c>
      <c r="D10" s="54">
        <v>0.44</v>
      </c>
      <c r="E10" s="54">
        <v>0.1</v>
      </c>
      <c r="L10" s="1"/>
      <c r="M10" s="1"/>
      <c r="N10"/>
      <c r="O10"/>
    </row>
    <row r="11" spans="1:15" x14ac:dyDescent="0.35">
      <c r="A11" s="321"/>
      <c r="C11" s="44" t="s">
        <v>912</v>
      </c>
      <c r="D11" s="53">
        <f>SUM(D12:D14)</f>
        <v>1</v>
      </c>
      <c r="E11" s="53">
        <f>SUM(E12:E14)</f>
        <v>1</v>
      </c>
      <c r="L11" s="1"/>
      <c r="M11" s="1"/>
      <c r="N11"/>
      <c r="O11"/>
    </row>
    <row r="12" spans="1:15" x14ac:dyDescent="0.35">
      <c r="A12" s="321"/>
      <c r="C12" s="3" t="s">
        <v>915</v>
      </c>
      <c r="D12" s="54">
        <v>0</v>
      </c>
      <c r="E12" s="54">
        <v>0</v>
      </c>
      <c r="L12" s="1"/>
      <c r="M12" s="1"/>
      <c r="N12"/>
      <c r="O12"/>
    </row>
    <row r="13" spans="1:15" x14ac:dyDescent="0.35">
      <c r="A13" s="321"/>
      <c r="C13" s="3" t="s">
        <v>916</v>
      </c>
      <c r="D13" s="54">
        <v>0</v>
      </c>
      <c r="E13" s="54">
        <v>0.3</v>
      </c>
      <c r="L13" s="1"/>
      <c r="M13" s="1"/>
      <c r="N13"/>
      <c r="O13"/>
    </row>
    <row r="14" spans="1:15" x14ac:dyDescent="0.35">
      <c r="A14" s="321"/>
      <c r="C14" s="3" t="s">
        <v>1163</v>
      </c>
      <c r="D14" s="54">
        <v>1</v>
      </c>
      <c r="E14" s="54">
        <v>0.7</v>
      </c>
      <c r="L14" s="1"/>
      <c r="M14" s="1"/>
      <c r="N14"/>
      <c r="O14"/>
    </row>
    <row r="15" spans="1:15" x14ac:dyDescent="0.35">
      <c r="L15" s="1"/>
      <c r="M15" s="1"/>
      <c r="N15"/>
      <c r="O15"/>
    </row>
    <row r="17" spans="1:15" x14ac:dyDescent="0.35">
      <c r="A17" s="321" t="s">
        <v>1164</v>
      </c>
      <c r="B17" s="51"/>
      <c r="C17" s="3" t="s">
        <v>1165</v>
      </c>
      <c r="D17" s="3" t="s">
        <v>1166</v>
      </c>
      <c r="K17" s="1"/>
      <c r="L17" s="1"/>
      <c r="M17"/>
      <c r="N17"/>
      <c r="O17"/>
    </row>
    <row r="18" spans="1:15" ht="26" x14ac:dyDescent="0.35">
      <c r="A18" s="321"/>
      <c r="B18" s="51"/>
      <c r="C18" s="14" t="s">
        <v>1167</v>
      </c>
      <c r="D18" s="40">
        <v>0</v>
      </c>
      <c r="K18" s="1"/>
      <c r="L18" s="1"/>
      <c r="M18"/>
      <c r="N18"/>
      <c r="O18"/>
    </row>
    <row r="19" spans="1:15" ht="26" x14ac:dyDescent="0.35">
      <c r="A19" s="321"/>
      <c r="B19" s="51"/>
      <c r="C19" s="14" t="s">
        <v>1168</v>
      </c>
      <c r="D19" s="40">
        <v>0</v>
      </c>
      <c r="K19" s="1"/>
      <c r="L19" s="1"/>
      <c r="M19"/>
      <c r="N19"/>
      <c r="O19"/>
    </row>
    <row r="20" spans="1:15" ht="26" x14ac:dyDescent="0.35">
      <c r="A20" s="321"/>
      <c r="B20" s="51"/>
      <c r="C20" s="15" t="s">
        <v>1169</v>
      </c>
      <c r="D20" s="40">
        <v>0</v>
      </c>
      <c r="K20" s="1"/>
      <c r="L20" s="1"/>
      <c r="M20"/>
      <c r="N20"/>
      <c r="O20"/>
    </row>
    <row r="21" spans="1:15" ht="26" x14ac:dyDescent="0.35">
      <c r="A21" s="321"/>
      <c r="B21" s="51"/>
      <c r="C21" s="15" t="s">
        <v>1170</v>
      </c>
      <c r="D21" s="121">
        <v>882</v>
      </c>
      <c r="K21" s="1"/>
      <c r="L21" s="1"/>
      <c r="M21"/>
      <c r="N21"/>
      <c r="O21"/>
    </row>
    <row r="22" spans="1:15" ht="26" x14ac:dyDescent="0.35">
      <c r="A22" s="321"/>
      <c r="B22" s="51"/>
      <c r="C22" s="15" t="s">
        <v>1171</v>
      </c>
      <c r="D22" s="40">
        <v>4</v>
      </c>
      <c r="K22" s="1"/>
      <c r="L22" s="1"/>
      <c r="M22"/>
      <c r="N22"/>
      <c r="O22"/>
    </row>
    <row r="23" spans="1:15" ht="26" x14ac:dyDescent="0.35">
      <c r="A23" s="321"/>
      <c r="B23" s="51"/>
      <c r="C23" s="15" t="s">
        <v>1172</v>
      </c>
      <c r="D23" s="121">
        <v>882</v>
      </c>
      <c r="K23" s="1"/>
      <c r="L23" s="1"/>
      <c r="M23"/>
      <c r="N23"/>
      <c r="O23"/>
    </row>
    <row r="24" spans="1:15" ht="26" x14ac:dyDescent="0.35">
      <c r="A24" s="321"/>
      <c r="B24" s="51"/>
      <c r="C24" s="15" t="s">
        <v>1173</v>
      </c>
      <c r="D24" s="40">
        <v>4</v>
      </c>
      <c r="K24" s="1"/>
      <c r="L24" s="1"/>
      <c r="M24"/>
      <c r="N24"/>
      <c r="O24"/>
    </row>
    <row r="25" spans="1:15" ht="26" x14ac:dyDescent="0.35">
      <c r="A25" s="321"/>
      <c r="B25" s="51"/>
      <c r="C25" s="15" t="s">
        <v>1174</v>
      </c>
      <c r="D25" s="121">
        <v>0</v>
      </c>
      <c r="K25" s="1"/>
      <c r="L25" s="1"/>
      <c r="M25"/>
      <c r="N25"/>
      <c r="O25"/>
    </row>
    <row r="26" spans="1:15" ht="26" x14ac:dyDescent="0.35">
      <c r="A26" s="321"/>
      <c r="B26" s="51"/>
      <c r="C26" s="15" t="s">
        <v>1175</v>
      </c>
      <c r="D26" s="40">
        <v>0</v>
      </c>
      <c r="K26" s="1"/>
      <c r="L26" s="1"/>
      <c r="M26"/>
      <c r="N26"/>
      <c r="O26"/>
    </row>
    <row r="27" spans="1:15" x14ac:dyDescent="0.35">
      <c r="A27" s="321"/>
      <c r="B27" s="51"/>
      <c r="C27" s="14" t="s">
        <v>1176</v>
      </c>
      <c r="D27" s="40" t="s">
        <v>726</v>
      </c>
      <c r="K27" s="1"/>
      <c r="L27" s="1"/>
      <c r="M27"/>
      <c r="N27"/>
      <c r="O27"/>
    </row>
    <row r="29" spans="1:15" x14ac:dyDescent="0.35">
      <c r="A29" s="3"/>
      <c r="B29" s="3"/>
      <c r="F29" s="1"/>
      <c r="G29" s="1"/>
      <c r="H29"/>
      <c r="I29"/>
      <c r="J29"/>
      <c r="K29"/>
      <c r="L29"/>
      <c r="M29"/>
      <c r="N29"/>
      <c r="O29"/>
    </row>
    <row r="30" spans="1:15" x14ac:dyDescent="0.35">
      <c r="A30" s="3"/>
      <c r="B30" s="3"/>
      <c r="F30" s="1"/>
      <c r="G30" s="1"/>
      <c r="H30"/>
      <c r="I30"/>
      <c r="J30"/>
      <c r="K30"/>
      <c r="L30"/>
      <c r="M30"/>
      <c r="N30"/>
      <c r="O30"/>
    </row>
    <row r="31" spans="1:15" x14ac:dyDescent="0.35">
      <c r="A31" s="3"/>
      <c r="B31" s="3"/>
      <c r="F31" s="1"/>
      <c r="G31" s="1"/>
      <c r="H31"/>
      <c r="I31"/>
      <c r="J31"/>
      <c r="K31"/>
      <c r="L31"/>
      <c r="M31"/>
      <c r="N31"/>
      <c r="O31"/>
    </row>
    <row r="32" spans="1:15" x14ac:dyDescent="0.35">
      <c r="A32" s="3"/>
      <c r="B32" s="3"/>
      <c r="F32" s="1"/>
      <c r="G32" s="1"/>
      <c r="H32"/>
      <c r="I32"/>
      <c r="J32"/>
      <c r="K32"/>
      <c r="L32"/>
      <c r="M32"/>
      <c r="N32"/>
      <c r="O32"/>
    </row>
    <row r="33" spans="1:15" x14ac:dyDescent="0.35">
      <c r="A33" s="3"/>
      <c r="B33" s="3"/>
      <c r="F33" s="1"/>
      <c r="G33" s="1"/>
      <c r="H33"/>
      <c r="I33"/>
      <c r="J33"/>
      <c r="K33"/>
      <c r="L33"/>
      <c r="M33"/>
      <c r="N33"/>
      <c r="O33"/>
    </row>
    <row r="34" spans="1:15" x14ac:dyDescent="0.35">
      <c r="A34" s="3"/>
      <c r="B34" s="3"/>
      <c r="F34" s="1"/>
      <c r="G34" s="1"/>
      <c r="H34"/>
      <c r="I34"/>
      <c r="J34"/>
      <c r="K34"/>
      <c r="L34"/>
      <c r="M34"/>
      <c r="N34"/>
      <c r="O34"/>
    </row>
    <row r="35" spans="1:15" x14ac:dyDescent="0.35">
      <c r="A35" s="3"/>
      <c r="B35" s="3"/>
      <c r="F35" s="1"/>
      <c r="G35" s="1"/>
      <c r="H35"/>
      <c r="I35"/>
      <c r="J35"/>
      <c r="K35"/>
      <c r="L35"/>
      <c r="M35"/>
      <c r="N35"/>
      <c r="O35"/>
    </row>
    <row r="36" spans="1:15" x14ac:dyDescent="0.35">
      <c r="A36" s="3"/>
      <c r="B36" s="3"/>
      <c r="F36" s="1"/>
      <c r="G36" s="1"/>
      <c r="H36"/>
      <c r="I36"/>
      <c r="J36"/>
      <c r="K36"/>
      <c r="L36"/>
      <c r="M36"/>
      <c r="N36"/>
      <c r="O36"/>
    </row>
    <row r="37" spans="1:15" x14ac:dyDescent="0.35">
      <c r="A37" s="3"/>
      <c r="B37" s="3"/>
      <c r="F37" s="1"/>
      <c r="G37" s="1"/>
      <c r="H37"/>
      <c r="I37"/>
      <c r="J37"/>
      <c r="K37"/>
      <c r="L37"/>
      <c r="M37"/>
      <c r="N37"/>
      <c r="O37"/>
    </row>
    <row r="38" spans="1:15" x14ac:dyDescent="0.35">
      <c r="A38" s="3"/>
      <c r="B38" s="3"/>
      <c r="F38" s="1"/>
      <c r="G38" s="1"/>
      <c r="H38"/>
      <c r="I38"/>
      <c r="J38"/>
      <c r="K38"/>
      <c r="L38"/>
      <c r="M38"/>
      <c r="N38"/>
      <c r="O38"/>
    </row>
  </sheetData>
  <mergeCells count="3">
    <mergeCell ref="A17:A27"/>
    <mergeCell ref="A7:A14"/>
    <mergeCell ref="C1:F1"/>
  </mergeCells>
  <phoneticPr fontId="14" type="noConversion"/>
  <hyperlinks>
    <hyperlink ref="C4" location="Diversity_of_Governance" display="Diversity of Governance Bodies" xr:uid="{C7386C48-512A-4DF8-B236-E8F956B0CAF8}"/>
    <hyperlink ref="C5" location="Compliance" display="Compliance with Laws and Regulations" xr:uid="{A16C1467-9E8E-44AB-8E08-07289EB21C06}"/>
    <hyperlink ref="G1" location="Tab_Menu" display=" Back to Menu" xr:uid="{4BAA160B-1EB2-4190-A164-3558A6481F5E}"/>
  </hyperlink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8016-7B38-42D3-8A1C-2E4F68F2D23E}">
  <dimension ref="A1:O6"/>
  <sheetViews>
    <sheetView showGridLines="0" zoomScaleNormal="100" workbookViewId="0">
      <pane xSplit="2" ySplit="2" topLeftCell="C3" activePane="bottomRight" state="frozen"/>
      <selection pane="topRight" activeCell="D1" sqref="D1"/>
      <selection pane="bottomLeft" activeCell="A3" sqref="A3"/>
      <selection pane="bottomRight" activeCell="A3" sqref="A3:A6"/>
    </sheetView>
  </sheetViews>
  <sheetFormatPr defaultRowHeight="14.5" x14ac:dyDescent="0.35"/>
  <cols>
    <col min="1" max="1" width="38.54296875" style="4" bestFit="1" customWidth="1"/>
    <col min="2" max="2" width="4" style="4" customWidth="1"/>
    <col min="3" max="3" width="58.453125" style="3" customWidth="1"/>
    <col min="4" max="4" width="23.1796875" style="3" customWidth="1"/>
    <col min="5" max="5" width="22.1796875" style="3" customWidth="1"/>
    <col min="6" max="6" width="15" style="3" customWidth="1"/>
    <col min="7" max="7" width="14.7265625" style="3" customWidth="1"/>
    <col min="8" max="13" width="9.1796875" style="3"/>
    <col min="14" max="15" width="9.1796875" style="1"/>
  </cols>
  <sheetData>
    <row r="1" spans="1:7" ht="18.5" x14ac:dyDescent="0.35">
      <c r="A1" s="4" t="s">
        <v>984</v>
      </c>
      <c r="C1" s="320" t="s">
        <v>1177</v>
      </c>
      <c r="D1" s="320"/>
      <c r="E1" s="320"/>
      <c r="F1" s="320"/>
      <c r="G1" s="232" t="s">
        <v>153</v>
      </c>
    </row>
    <row r="3" spans="1:7" ht="15.75" customHeight="1" x14ac:dyDescent="0.35">
      <c r="A3" s="321" t="s">
        <v>1178</v>
      </c>
      <c r="C3" s="3" t="s">
        <v>149</v>
      </c>
      <c r="D3" s="3" t="s">
        <v>608</v>
      </c>
      <c r="E3" s="3" t="s">
        <v>609</v>
      </c>
      <c r="F3" s="3" t="s">
        <v>610</v>
      </c>
      <c r="G3" s="3" t="s">
        <v>883</v>
      </c>
    </row>
    <row r="4" spans="1:7" x14ac:dyDescent="0.35">
      <c r="A4" s="321"/>
      <c r="C4" s="3" t="s">
        <v>1179</v>
      </c>
      <c r="D4" s="3">
        <v>103</v>
      </c>
      <c r="E4" s="3">
        <f t="shared" ref="E4:E5" si="0">87+47</f>
        <v>134</v>
      </c>
      <c r="F4" s="3">
        <v>0</v>
      </c>
      <c r="G4" s="3">
        <f>SUM(Table13410132326[[#This Row],[El Limon Complex]:[Pan Mine]])</f>
        <v>237</v>
      </c>
    </row>
    <row r="5" spans="1:7" x14ac:dyDescent="0.35">
      <c r="A5" s="321"/>
      <c r="C5" s="3" t="s">
        <v>1180</v>
      </c>
      <c r="D5" s="3">
        <v>103</v>
      </c>
      <c r="E5" s="3">
        <f t="shared" si="0"/>
        <v>134</v>
      </c>
      <c r="F5" s="3" t="s">
        <v>726</v>
      </c>
      <c r="G5" s="3">
        <f>SUM(Table13410132326[[#This Row],[El Limon Complex]:[Pan Mine]])</f>
        <v>237</v>
      </c>
    </row>
    <row r="6" spans="1:7" x14ac:dyDescent="0.35">
      <c r="A6" s="321"/>
      <c r="C6" s="3" t="s">
        <v>1181</v>
      </c>
      <c r="D6" s="54">
        <f>D5/D4</f>
        <v>1</v>
      </c>
      <c r="E6" s="54">
        <f t="shared" ref="E6:G6" si="1">E5/E4</f>
        <v>1</v>
      </c>
      <c r="F6" s="54" t="s">
        <v>726</v>
      </c>
      <c r="G6" s="54">
        <f t="shared" si="1"/>
        <v>1</v>
      </c>
    </row>
  </sheetData>
  <mergeCells count="2">
    <mergeCell ref="C1:F1"/>
    <mergeCell ref="A3:A6"/>
  </mergeCells>
  <hyperlinks>
    <hyperlink ref="G1" location="Tab_Menu" display=" Back to Menu" xr:uid="{1465A02A-4E7D-48A2-9D68-739059D0AB86}"/>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72DD-8F06-4CF8-8219-31380AC8565C}">
  <dimension ref="A1:O45"/>
  <sheetViews>
    <sheetView showGridLines="0" zoomScaleNormal="100" workbookViewId="0">
      <pane xSplit="2" ySplit="2" topLeftCell="C3" activePane="bottomRight" state="frozen"/>
      <selection pane="topRight" activeCell="D1" sqref="D1"/>
      <selection pane="bottomLeft" activeCell="A4" sqref="A4"/>
      <selection pane="bottomRight" activeCell="C1" sqref="C1:H1"/>
    </sheetView>
  </sheetViews>
  <sheetFormatPr defaultRowHeight="14.5" x14ac:dyDescent="0.35"/>
  <cols>
    <col min="1" max="1" width="20.26953125" style="5" bestFit="1" customWidth="1"/>
    <col min="2" max="2" width="4" style="5" customWidth="1"/>
    <col min="3" max="3" width="13.26953125" style="3" customWidth="1"/>
    <col min="4" max="4" width="30.54296875" style="3" customWidth="1"/>
    <col min="5" max="5" width="12" style="3" bestFit="1" customWidth="1"/>
    <col min="6" max="6" width="65.54296875" style="3" customWidth="1"/>
    <col min="7" max="7" width="12.1796875" style="3" customWidth="1"/>
    <col min="8" max="8" width="53.54296875" style="3" customWidth="1"/>
    <col min="9" max="9" width="52.1796875" style="3" customWidth="1"/>
    <col min="10" max="13" width="9.1796875" style="3"/>
    <col min="14" max="15" width="9.1796875" style="1"/>
  </cols>
  <sheetData>
    <row r="1" spans="1:15" ht="18.75" customHeight="1" x14ac:dyDescent="0.35">
      <c r="A1" s="5" t="s">
        <v>1182</v>
      </c>
      <c r="C1" s="320" t="s">
        <v>1183</v>
      </c>
      <c r="D1" s="320"/>
      <c r="E1" s="320"/>
      <c r="F1" s="320"/>
      <c r="G1" s="320"/>
      <c r="H1" s="320"/>
      <c r="I1" s="232" t="s">
        <v>153</v>
      </c>
    </row>
    <row r="3" spans="1:15" s="3" customFormat="1" ht="26" x14ac:dyDescent="0.35">
      <c r="A3" s="340" t="s">
        <v>1184</v>
      </c>
      <c r="B3" s="5"/>
      <c r="C3" s="3" t="s">
        <v>1185</v>
      </c>
      <c r="D3" s="3" t="s">
        <v>1186</v>
      </c>
      <c r="E3" s="3" t="s">
        <v>1187</v>
      </c>
      <c r="F3" s="3" t="s">
        <v>1188</v>
      </c>
      <c r="G3" s="3" t="s">
        <v>1189</v>
      </c>
      <c r="H3" s="3" t="s">
        <v>1190</v>
      </c>
      <c r="I3" s="3" t="s">
        <v>1191</v>
      </c>
      <c r="N3" s="1"/>
      <c r="O3" s="1"/>
    </row>
    <row r="4" spans="1:15" s="3" customFormat="1" ht="26" x14ac:dyDescent="0.35">
      <c r="A4" s="340"/>
      <c r="B4" s="5"/>
      <c r="C4" s="124" t="s">
        <v>63</v>
      </c>
      <c r="D4" s="125" t="s">
        <v>1192</v>
      </c>
      <c r="E4" s="126" t="s">
        <v>339</v>
      </c>
      <c r="F4" s="125" t="s">
        <v>1193</v>
      </c>
      <c r="G4" s="9" t="s">
        <v>1194</v>
      </c>
      <c r="H4" s="9" t="s">
        <v>1195</v>
      </c>
      <c r="I4" s="9" t="s">
        <v>1195</v>
      </c>
      <c r="N4" s="1"/>
      <c r="O4" s="1"/>
    </row>
    <row r="5" spans="1:15" s="3" customFormat="1" ht="26" x14ac:dyDescent="0.35">
      <c r="A5" s="340"/>
      <c r="B5" s="5"/>
      <c r="C5" s="124" t="s">
        <v>63</v>
      </c>
      <c r="D5" s="125" t="s">
        <v>1192</v>
      </c>
      <c r="E5" s="126" t="s">
        <v>339</v>
      </c>
      <c r="F5" s="125" t="s">
        <v>1196</v>
      </c>
      <c r="G5" s="9" t="s">
        <v>1197</v>
      </c>
      <c r="H5" s="9" t="s">
        <v>1198</v>
      </c>
      <c r="I5" s="9" t="s">
        <v>1199</v>
      </c>
      <c r="N5" s="1"/>
      <c r="O5" s="1"/>
    </row>
    <row r="6" spans="1:15" s="3" customFormat="1" ht="26" x14ac:dyDescent="0.35">
      <c r="A6" s="340"/>
      <c r="B6" s="5"/>
      <c r="C6" s="124" t="s">
        <v>63</v>
      </c>
      <c r="D6" s="125" t="s">
        <v>1192</v>
      </c>
      <c r="E6" s="126" t="s">
        <v>1052</v>
      </c>
      <c r="F6" s="125" t="s">
        <v>1200</v>
      </c>
      <c r="G6" s="9" t="s">
        <v>1197</v>
      </c>
      <c r="H6" s="9" t="s">
        <v>1201</v>
      </c>
      <c r="I6" s="9" t="s">
        <v>1202</v>
      </c>
      <c r="N6" s="1"/>
      <c r="O6" s="1"/>
    </row>
    <row r="7" spans="1:15" s="3" customFormat="1" ht="26" x14ac:dyDescent="0.35">
      <c r="A7" s="340"/>
      <c r="B7" s="5"/>
      <c r="C7" s="124" t="s">
        <v>63</v>
      </c>
      <c r="D7" s="125" t="s">
        <v>1192</v>
      </c>
      <c r="E7" s="126" t="s">
        <v>1052</v>
      </c>
      <c r="F7" s="125" t="s">
        <v>1203</v>
      </c>
      <c r="G7" s="9" t="s">
        <v>1204</v>
      </c>
      <c r="H7" s="9" t="s">
        <v>1205</v>
      </c>
      <c r="I7" s="9" t="s">
        <v>1206</v>
      </c>
      <c r="N7" s="1"/>
      <c r="O7" s="1"/>
    </row>
    <row r="8" spans="1:15" s="3" customFormat="1" ht="26" x14ac:dyDescent="0.35">
      <c r="A8" s="340"/>
      <c r="B8" s="5"/>
      <c r="C8" s="124" t="s">
        <v>63</v>
      </c>
      <c r="D8" s="125" t="s">
        <v>1192</v>
      </c>
      <c r="E8" s="126" t="s">
        <v>1052</v>
      </c>
      <c r="F8" s="125" t="s">
        <v>1207</v>
      </c>
      <c r="G8" s="9" t="s">
        <v>1208</v>
      </c>
      <c r="H8" s="9" t="s">
        <v>1209</v>
      </c>
      <c r="I8" s="9" t="s">
        <v>46</v>
      </c>
      <c r="N8" s="1"/>
      <c r="O8" s="1"/>
    </row>
    <row r="9" spans="1:15" s="3" customFormat="1" ht="26" x14ac:dyDescent="0.35">
      <c r="A9" s="340"/>
      <c r="B9" s="5"/>
      <c r="C9" s="124" t="s">
        <v>63</v>
      </c>
      <c r="D9" s="125" t="s">
        <v>1192</v>
      </c>
      <c r="E9" s="126" t="s">
        <v>610</v>
      </c>
      <c r="F9" s="125" t="s">
        <v>1210</v>
      </c>
      <c r="G9" s="9" t="s">
        <v>1204</v>
      </c>
      <c r="H9" s="9" t="s">
        <v>1211</v>
      </c>
      <c r="I9" s="9" t="s">
        <v>1212</v>
      </c>
      <c r="N9" s="1"/>
      <c r="O9" s="1"/>
    </row>
    <row r="10" spans="1:15" s="3" customFormat="1" x14ac:dyDescent="0.35">
      <c r="A10" s="340"/>
      <c r="B10" s="5"/>
      <c r="C10" s="124" t="s">
        <v>63</v>
      </c>
      <c r="D10" s="125" t="s">
        <v>1213</v>
      </c>
      <c r="E10" s="125" t="s">
        <v>1052</v>
      </c>
      <c r="F10" s="125" t="s">
        <v>1214</v>
      </c>
      <c r="G10" s="122" t="s">
        <v>1208</v>
      </c>
      <c r="H10" s="9" t="s">
        <v>1215</v>
      </c>
      <c r="I10" s="9" t="s">
        <v>46</v>
      </c>
      <c r="N10" s="1"/>
      <c r="O10" s="1"/>
    </row>
    <row r="11" spans="1:15" s="3" customFormat="1" x14ac:dyDescent="0.35">
      <c r="A11" s="340"/>
      <c r="B11" s="5"/>
      <c r="C11" s="124" t="s">
        <v>63</v>
      </c>
      <c r="D11" s="125" t="s">
        <v>1213</v>
      </c>
      <c r="E11" s="125" t="s">
        <v>610</v>
      </c>
      <c r="F11" s="125" t="s">
        <v>1216</v>
      </c>
      <c r="G11" s="9" t="s">
        <v>1194</v>
      </c>
      <c r="H11" s="9" t="s">
        <v>1217</v>
      </c>
      <c r="I11" s="9" t="s">
        <v>46</v>
      </c>
      <c r="N11" s="1"/>
      <c r="O11" s="1"/>
    </row>
    <row r="12" spans="1:15" s="3" customFormat="1" ht="26" x14ac:dyDescent="0.35">
      <c r="A12" s="340"/>
      <c r="B12" s="5"/>
      <c r="C12" s="124" t="s">
        <v>63</v>
      </c>
      <c r="D12" s="125" t="s">
        <v>1218</v>
      </c>
      <c r="E12" s="125" t="s">
        <v>1052</v>
      </c>
      <c r="F12" s="125" t="s">
        <v>1219</v>
      </c>
      <c r="G12" s="122" t="s">
        <v>1194</v>
      </c>
      <c r="H12" s="9" t="s">
        <v>1220</v>
      </c>
      <c r="I12" s="9" t="s">
        <v>1221</v>
      </c>
      <c r="N12" s="1"/>
      <c r="O12" s="1"/>
    </row>
    <row r="13" spans="1:15" s="3" customFormat="1" ht="26" x14ac:dyDescent="0.35">
      <c r="A13" s="340"/>
      <c r="B13" s="5"/>
      <c r="C13" s="124" t="s">
        <v>63</v>
      </c>
      <c r="D13" s="125" t="s">
        <v>1218</v>
      </c>
      <c r="E13" s="125" t="s">
        <v>610</v>
      </c>
      <c r="F13" s="125" t="s">
        <v>1222</v>
      </c>
      <c r="G13" s="9" t="s">
        <v>1194</v>
      </c>
      <c r="H13" s="9" t="s">
        <v>1223</v>
      </c>
      <c r="I13" s="9" t="s">
        <v>1224</v>
      </c>
      <c r="N13" s="1"/>
      <c r="O13" s="1"/>
    </row>
    <row r="14" spans="1:15" s="3" customFormat="1" ht="26" x14ac:dyDescent="0.35">
      <c r="A14" s="340"/>
      <c r="B14" s="5"/>
      <c r="C14" s="124" t="s">
        <v>63</v>
      </c>
      <c r="D14" s="125" t="s">
        <v>1225</v>
      </c>
      <c r="E14" s="125" t="s">
        <v>1052</v>
      </c>
      <c r="F14" s="125" t="s">
        <v>1226</v>
      </c>
      <c r="G14" s="9" t="s">
        <v>1208</v>
      </c>
      <c r="H14" s="9" t="s">
        <v>1227</v>
      </c>
      <c r="I14" s="9" t="s">
        <v>1228</v>
      </c>
      <c r="N14" s="1"/>
      <c r="O14" s="1"/>
    </row>
    <row r="15" spans="1:15" s="3" customFormat="1" ht="26" x14ac:dyDescent="0.35">
      <c r="A15" s="340"/>
      <c r="B15" s="5"/>
      <c r="C15" s="124" t="s">
        <v>63</v>
      </c>
      <c r="D15" s="125" t="s">
        <v>1225</v>
      </c>
      <c r="E15" s="125" t="s">
        <v>1052</v>
      </c>
      <c r="F15" s="124" t="s">
        <v>1229</v>
      </c>
      <c r="G15" s="9" t="s">
        <v>1197</v>
      </c>
      <c r="H15" s="9" t="s">
        <v>1230</v>
      </c>
      <c r="I15" s="9" t="s">
        <v>1231</v>
      </c>
      <c r="N15" s="1"/>
      <c r="O15" s="1"/>
    </row>
    <row r="16" spans="1:15" s="3" customFormat="1" x14ac:dyDescent="0.35">
      <c r="A16" s="340"/>
      <c r="B16" s="5"/>
      <c r="C16" s="124" t="s">
        <v>63</v>
      </c>
      <c r="D16" s="125" t="s">
        <v>1225</v>
      </c>
      <c r="E16" s="125" t="s">
        <v>610</v>
      </c>
      <c r="F16" s="124" t="s">
        <v>1232</v>
      </c>
      <c r="G16" s="9" t="s">
        <v>1194</v>
      </c>
      <c r="H16" s="9" t="s">
        <v>1233</v>
      </c>
      <c r="I16" s="9" t="s">
        <v>1231</v>
      </c>
      <c r="N16" s="1"/>
      <c r="O16" s="1"/>
    </row>
    <row r="17" spans="1:15" s="3" customFormat="1" x14ac:dyDescent="0.35">
      <c r="A17" s="340"/>
      <c r="B17" s="5"/>
      <c r="C17" s="124" t="s">
        <v>1234</v>
      </c>
      <c r="D17" s="125" t="s">
        <v>875</v>
      </c>
      <c r="E17" s="125" t="s">
        <v>1052</v>
      </c>
      <c r="F17" s="125" t="s">
        <v>1235</v>
      </c>
      <c r="G17" s="9" t="s">
        <v>1194</v>
      </c>
      <c r="H17" s="9" t="s">
        <v>1236</v>
      </c>
      <c r="I17" s="9" t="s">
        <v>1235</v>
      </c>
      <c r="N17" s="1"/>
      <c r="O17" s="1"/>
    </row>
    <row r="18" spans="1:15" s="3" customFormat="1" ht="15" customHeight="1" x14ac:dyDescent="0.35">
      <c r="A18" s="340"/>
      <c r="B18" s="5"/>
      <c r="C18" s="124" t="s">
        <v>1234</v>
      </c>
      <c r="D18" s="125" t="s">
        <v>875</v>
      </c>
      <c r="E18" s="125" t="s">
        <v>1052</v>
      </c>
      <c r="F18" s="125" t="s">
        <v>1237</v>
      </c>
      <c r="G18" s="9" t="s">
        <v>1194</v>
      </c>
      <c r="H18" s="9" t="s">
        <v>1238</v>
      </c>
      <c r="I18" s="9" t="s">
        <v>1238</v>
      </c>
      <c r="N18" s="1"/>
      <c r="O18" s="1"/>
    </row>
    <row r="19" spans="1:15" s="3" customFormat="1" x14ac:dyDescent="0.35">
      <c r="A19" s="340"/>
      <c r="B19" s="5"/>
      <c r="C19" s="124" t="s">
        <v>1234</v>
      </c>
      <c r="D19" s="125" t="s">
        <v>875</v>
      </c>
      <c r="E19" s="125" t="s">
        <v>1052</v>
      </c>
      <c r="F19" s="125" t="s">
        <v>1239</v>
      </c>
      <c r="G19" s="9" t="s">
        <v>1194</v>
      </c>
      <c r="H19" s="9" t="s">
        <v>1240</v>
      </c>
      <c r="I19" s="9" t="s">
        <v>46</v>
      </c>
      <c r="N19" s="1"/>
      <c r="O19" s="1"/>
    </row>
    <row r="20" spans="1:15" s="3" customFormat="1" ht="39" x14ac:dyDescent="0.35">
      <c r="A20" s="340"/>
      <c r="B20" s="5"/>
      <c r="C20" s="124" t="s">
        <v>1234</v>
      </c>
      <c r="D20" s="125" t="s">
        <v>875</v>
      </c>
      <c r="E20" s="125" t="s">
        <v>1052</v>
      </c>
      <c r="F20" s="125" t="s">
        <v>1241</v>
      </c>
      <c r="G20" s="9" t="s">
        <v>1194</v>
      </c>
      <c r="H20" s="9" t="s">
        <v>1242</v>
      </c>
      <c r="I20" s="9" t="s">
        <v>46</v>
      </c>
      <c r="N20" s="1"/>
      <c r="O20" s="1"/>
    </row>
    <row r="21" spans="1:15" s="3" customFormat="1" ht="65" x14ac:dyDescent="0.35">
      <c r="A21" s="340"/>
      <c r="B21" s="5"/>
      <c r="C21" s="124" t="s">
        <v>1234</v>
      </c>
      <c r="D21" s="125" t="s">
        <v>875</v>
      </c>
      <c r="E21" s="125" t="s">
        <v>610</v>
      </c>
      <c r="F21" s="125" t="s">
        <v>1243</v>
      </c>
      <c r="G21" s="9" t="s">
        <v>1194</v>
      </c>
      <c r="H21" s="9" t="s">
        <v>1244</v>
      </c>
      <c r="I21" s="9" t="s">
        <v>1245</v>
      </c>
      <c r="N21" s="1"/>
      <c r="O21" s="1"/>
    </row>
    <row r="22" spans="1:15" s="3" customFormat="1" ht="39" x14ac:dyDescent="0.35">
      <c r="A22" s="340"/>
      <c r="B22" s="5"/>
      <c r="C22" s="124" t="s">
        <v>1234</v>
      </c>
      <c r="D22" s="125" t="s">
        <v>1246</v>
      </c>
      <c r="E22" s="125" t="s">
        <v>1052</v>
      </c>
      <c r="F22" s="125" t="s">
        <v>1247</v>
      </c>
      <c r="G22" s="122" t="s">
        <v>1208</v>
      </c>
      <c r="H22" s="9" t="s">
        <v>1248</v>
      </c>
      <c r="I22" s="9" t="s">
        <v>1249</v>
      </c>
      <c r="N22" s="1"/>
      <c r="O22" s="1"/>
    </row>
    <row r="23" spans="1:15" s="3" customFormat="1" x14ac:dyDescent="0.35">
      <c r="A23" s="340"/>
      <c r="B23" s="5"/>
      <c r="C23" s="124" t="s">
        <v>1234</v>
      </c>
      <c r="D23" s="125" t="s">
        <v>1246</v>
      </c>
      <c r="E23" s="125" t="s">
        <v>1052</v>
      </c>
      <c r="F23" s="125" t="s">
        <v>1250</v>
      </c>
      <c r="G23" s="9" t="s">
        <v>1194</v>
      </c>
      <c r="H23" s="9" t="s">
        <v>1251</v>
      </c>
      <c r="I23" s="9" t="s">
        <v>1252</v>
      </c>
      <c r="N23" s="1"/>
      <c r="O23" s="1"/>
    </row>
    <row r="24" spans="1:15" s="3" customFormat="1" ht="26" x14ac:dyDescent="0.35">
      <c r="A24" s="340"/>
      <c r="B24" s="5"/>
      <c r="C24" s="124" t="s">
        <v>1234</v>
      </c>
      <c r="D24" s="125" t="s">
        <v>1246</v>
      </c>
      <c r="E24" s="125" t="s">
        <v>1052</v>
      </c>
      <c r="F24" s="125" t="s">
        <v>1253</v>
      </c>
      <c r="G24" s="122" t="s">
        <v>1197</v>
      </c>
      <c r="H24" s="9" t="s">
        <v>1254</v>
      </c>
      <c r="I24" s="9" t="s">
        <v>1255</v>
      </c>
      <c r="N24" s="1"/>
      <c r="O24" s="1"/>
    </row>
    <row r="25" spans="1:15" s="3" customFormat="1" x14ac:dyDescent="0.35">
      <c r="A25" s="340"/>
      <c r="B25" s="5"/>
      <c r="C25" s="124" t="s">
        <v>1234</v>
      </c>
      <c r="D25" s="125" t="s">
        <v>1246</v>
      </c>
      <c r="E25" s="125" t="s">
        <v>610</v>
      </c>
      <c r="F25" s="125" t="s">
        <v>1256</v>
      </c>
      <c r="G25" s="9" t="s">
        <v>1194</v>
      </c>
      <c r="H25" s="9" t="s">
        <v>1257</v>
      </c>
      <c r="I25" s="9" t="s">
        <v>1256</v>
      </c>
      <c r="N25" s="1"/>
      <c r="O25" s="1"/>
    </row>
    <row r="26" spans="1:15" s="3" customFormat="1" ht="26" x14ac:dyDescent="0.35">
      <c r="A26" s="340"/>
      <c r="B26" s="5"/>
      <c r="C26" s="124" t="s">
        <v>1234</v>
      </c>
      <c r="D26" s="125" t="s">
        <v>1246</v>
      </c>
      <c r="E26" s="125" t="s">
        <v>610</v>
      </c>
      <c r="F26" s="125" t="s">
        <v>1258</v>
      </c>
      <c r="G26" s="122" t="s">
        <v>1194</v>
      </c>
      <c r="H26" s="9" t="s">
        <v>1259</v>
      </c>
      <c r="I26" s="9" t="s">
        <v>1260</v>
      </c>
      <c r="N26" s="1"/>
      <c r="O26" s="1"/>
    </row>
    <row r="27" spans="1:15" s="3" customFormat="1" ht="26" x14ac:dyDescent="0.35">
      <c r="A27" s="340"/>
      <c r="B27" s="5"/>
      <c r="C27" s="124" t="s">
        <v>1234</v>
      </c>
      <c r="D27" s="125" t="s">
        <v>1261</v>
      </c>
      <c r="E27" s="125" t="s">
        <v>339</v>
      </c>
      <c r="F27" s="125" t="s">
        <v>1262</v>
      </c>
      <c r="G27" s="9" t="s">
        <v>1194</v>
      </c>
      <c r="H27" s="9" t="s">
        <v>1263</v>
      </c>
      <c r="I27" s="9" t="s">
        <v>1262</v>
      </c>
      <c r="N27" s="1"/>
      <c r="O27" s="1"/>
    </row>
    <row r="28" spans="1:15" s="3" customFormat="1" ht="26" x14ac:dyDescent="0.35">
      <c r="A28" s="340"/>
      <c r="B28" s="5"/>
      <c r="C28" s="124" t="s">
        <v>1234</v>
      </c>
      <c r="D28" s="125" t="s">
        <v>1261</v>
      </c>
      <c r="E28" s="125" t="s">
        <v>339</v>
      </c>
      <c r="F28" s="125" t="s">
        <v>1264</v>
      </c>
      <c r="G28" s="9" t="s">
        <v>1194</v>
      </c>
      <c r="H28" s="9" t="s">
        <v>1265</v>
      </c>
      <c r="I28" s="9" t="s">
        <v>1266</v>
      </c>
      <c r="N28" s="1"/>
      <c r="O28" s="1"/>
    </row>
    <row r="29" spans="1:15" s="3" customFormat="1" ht="26" x14ac:dyDescent="0.35">
      <c r="A29" s="340"/>
      <c r="B29" s="5"/>
      <c r="C29" s="124" t="s">
        <v>1234</v>
      </c>
      <c r="D29" s="125" t="s">
        <v>1261</v>
      </c>
      <c r="E29" s="125" t="s">
        <v>1052</v>
      </c>
      <c r="F29" s="125" t="s">
        <v>1267</v>
      </c>
      <c r="G29" s="9" t="s">
        <v>1197</v>
      </c>
      <c r="H29" s="9" t="s">
        <v>1268</v>
      </c>
      <c r="I29" s="9" t="s">
        <v>1269</v>
      </c>
      <c r="N29" s="1"/>
      <c r="O29" s="1"/>
    </row>
    <row r="30" spans="1:15" s="3" customFormat="1" ht="39" x14ac:dyDescent="0.35">
      <c r="A30" s="340"/>
      <c r="B30" s="5"/>
      <c r="C30" s="124" t="s">
        <v>1234</v>
      </c>
      <c r="D30" s="125" t="s">
        <v>1270</v>
      </c>
      <c r="E30" s="125" t="s">
        <v>1052</v>
      </c>
      <c r="F30" s="125" t="s">
        <v>1271</v>
      </c>
      <c r="G30" s="9" t="s">
        <v>1194</v>
      </c>
      <c r="H30" s="9" t="s">
        <v>1272</v>
      </c>
      <c r="I30" s="9" t="s">
        <v>1273</v>
      </c>
      <c r="N30" s="1"/>
      <c r="O30" s="1"/>
    </row>
    <row r="31" spans="1:15" s="3" customFormat="1" ht="26" x14ac:dyDescent="0.35">
      <c r="A31" s="340"/>
      <c r="B31" s="5"/>
      <c r="C31" s="124" t="s">
        <v>1234</v>
      </c>
      <c r="D31" s="125" t="s">
        <v>1270</v>
      </c>
      <c r="E31" s="125" t="s">
        <v>1052</v>
      </c>
      <c r="F31" s="125" t="s">
        <v>1274</v>
      </c>
      <c r="G31" s="9" t="s">
        <v>1208</v>
      </c>
      <c r="H31" s="9" t="s">
        <v>1275</v>
      </c>
      <c r="I31" s="9" t="s">
        <v>1276</v>
      </c>
      <c r="N31" s="1"/>
      <c r="O31" s="1"/>
    </row>
    <row r="32" spans="1:15" s="3" customFormat="1" ht="39" x14ac:dyDescent="0.35">
      <c r="A32" s="340"/>
      <c r="B32" s="5"/>
      <c r="C32" s="124" t="s">
        <v>1234</v>
      </c>
      <c r="D32" s="125" t="s">
        <v>1277</v>
      </c>
      <c r="E32" s="125" t="s">
        <v>1052</v>
      </c>
      <c r="F32" s="125" t="s">
        <v>1278</v>
      </c>
      <c r="G32" s="9" t="s">
        <v>1194</v>
      </c>
      <c r="H32" s="9" t="s">
        <v>1279</v>
      </c>
      <c r="I32" s="9" t="s">
        <v>1280</v>
      </c>
      <c r="N32" s="1"/>
      <c r="O32" s="1"/>
    </row>
    <row r="33" spans="1:15" s="3" customFormat="1" ht="15" customHeight="1" x14ac:dyDescent="0.35">
      <c r="A33" s="340"/>
      <c r="B33" s="5"/>
      <c r="C33" s="124" t="s">
        <v>1234</v>
      </c>
      <c r="D33" s="125" t="s">
        <v>1281</v>
      </c>
      <c r="E33" s="125" t="s">
        <v>1052</v>
      </c>
      <c r="F33" s="125" t="s">
        <v>1282</v>
      </c>
      <c r="G33" s="9" t="s">
        <v>1208</v>
      </c>
      <c r="H33" s="9" t="s">
        <v>1283</v>
      </c>
      <c r="I33" s="9" t="s">
        <v>1284</v>
      </c>
      <c r="N33" s="1"/>
      <c r="O33" s="1"/>
    </row>
    <row r="34" spans="1:15" s="3" customFormat="1" ht="26" x14ac:dyDescent="0.35">
      <c r="A34" s="340"/>
      <c r="B34" s="5"/>
      <c r="C34" s="124" t="s">
        <v>1234</v>
      </c>
      <c r="D34" s="125" t="s">
        <v>1281</v>
      </c>
      <c r="E34" s="125" t="s">
        <v>1052</v>
      </c>
      <c r="F34" s="125" t="s">
        <v>1285</v>
      </c>
      <c r="G34" s="9" t="s">
        <v>1194</v>
      </c>
      <c r="H34" s="9" t="s">
        <v>1286</v>
      </c>
      <c r="I34" s="9" t="s">
        <v>1287</v>
      </c>
      <c r="N34" s="1"/>
      <c r="O34" s="1"/>
    </row>
    <row r="35" spans="1:15" s="3" customFormat="1" ht="26" x14ac:dyDescent="0.35">
      <c r="A35" s="340"/>
      <c r="B35" s="5"/>
      <c r="C35" s="124" t="s">
        <v>1234</v>
      </c>
      <c r="D35" s="125" t="s">
        <v>1281</v>
      </c>
      <c r="E35" s="125" t="s">
        <v>1052</v>
      </c>
      <c r="F35" s="125" t="s">
        <v>1288</v>
      </c>
      <c r="G35" s="122" t="s">
        <v>1208</v>
      </c>
      <c r="H35" s="9" t="s">
        <v>1289</v>
      </c>
      <c r="I35" s="9" t="s">
        <v>46</v>
      </c>
      <c r="N35" s="1"/>
      <c r="O35" s="1"/>
    </row>
    <row r="36" spans="1:15" s="3" customFormat="1" ht="26" x14ac:dyDescent="0.35">
      <c r="A36" s="340"/>
      <c r="B36" s="5"/>
      <c r="C36" s="124" t="s">
        <v>1234</v>
      </c>
      <c r="D36" s="125" t="s">
        <v>1281</v>
      </c>
      <c r="E36" s="125" t="s">
        <v>610</v>
      </c>
      <c r="F36" s="125" t="s">
        <v>1290</v>
      </c>
      <c r="G36" s="9" t="s">
        <v>1194</v>
      </c>
      <c r="H36" s="9" t="s">
        <v>1291</v>
      </c>
      <c r="I36" s="9" t="s">
        <v>1292</v>
      </c>
      <c r="N36" s="1"/>
      <c r="O36" s="1"/>
    </row>
    <row r="37" spans="1:15" s="3" customFormat="1" ht="26" x14ac:dyDescent="0.35">
      <c r="A37" s="340"/>
      <c r="B37" s="5"/>
      <c r="C37" s="124" t="s">
        <v>1234</v>
      </c>
      <c r="D37" s="125" t="s">
        <v>1281</v>
      </c>
      <c r="E37" s="125" t="s">
        <v>610</v>
      </c>
      <c r="F37" s="125" t="s">
        <v>1293</v>
      </c>
      <c r="G37" s="9" t="s">
        <v>1194</v>
      </c>
      <c r="H37" s="9" t="s">
        <v>1294</v>
      </c>
      <c r="I37" s="9" t="s">
        <v>1295</v>
      </c>
      <c r="N37" s="1"/>
      <c r="O37" s="1"/>
    </row>
    <row r="38" spans="1:15" s="3" customFormat="1" x14ac:dyDescent="0.35">
      <c r="A38" s="340"/>
      <c r="B38" s="5"/>
      <c r="C38" s="124" t="s">
        <v>1234</v>
      </c>
      <c r="D38" s="125" t="s">
        <v>1281</v>
      </c>
      <c r="E38" s="125" t="s">
        <v>610</v>
      </c>
      <c r="F38" s="125" t="s">
        <v>1296</v>
      </c>
      <c r="G38" s="9" t="s">
        <v>1208</v>
      </c>
      <c r="H38" s="9" t="s">
        <v>1297</v>
      </c>
      <c r="I38" s="9" t="s">
        <v>46</v>
      </c>
      <c r="N38" s="1"/>
      <c r="O38" s="1"/>
    </row>
    <row r="39" spans="1:15" s="3" customFormat="1" ht="26" x14ac:dyDescent="0.35">
      <c r="A39" s="340"/>
      <c r="B39" s="5"/>
      <c r="C39" s="124" t="s">
        <v>143</v>
      </c>
      <c r="D39" s="125" t="s">
        <v>1158</v>
      </c>
      <c r="E39" s="126" t="s">
        <v>339</v>
      </c>
      <c r="F39" s="124" t="s">
        <v>1298</v>
      </c>
      <c r="G39" s="9" t="s">
        <v>1194</v>
      </c>
      <c r="H39" s="124" t="s">
        <v>1298</v>
      </c>
      <c r="I39" s="9" t="s">
        <v>46</v>
      </c>
      <c r="N39" s="1"/>
      <c r="O39" s="1"/>
    </row>
    <row r="40" spans="1:15" s="3" customFormat="1" ht="52" x14ac:dyDescent="0.35">
      <c r="A40" s="340"/>
      <c r="B40" s="5"/>
      <c r="C40" s="124" t="s">
        <v>143</v>
      </c>
      <c r="D40" s="125" t="s">
        <v>1299</v>
      </c>
      <c r="E40" s="125" t="s">
        <v>1052</v>
      </c>
      <c r="F40" s="125" t="s">
        <v>1300</v>
      </c>
      <c r="G40" s="9" t="s">
        <v>1194</v>
      </c>
      <c r="H40" s="9" t="s">
        <v>1301</v>
      </c>
      <c r="I40" s="9" t="s">
        <v>46</v>
      </c>
      <c r="N40" s="1"/>
      <c r="O40" s="1"/>
    </row>
    <row r="41" spans="1:15" s="3" customFormat="1" ht="26" x14ac:dyDescent="0.35">
      <c r="A41" s="340"/>
      <c r="B41" s="5"/>
      <c r="C41" s="124" t="s">
        <v>143</v>
      </c>
      <c r="D41" s="125" t="s">
        <v>1299</v>
      </c>
      <c r="E41" s="125" t="s">
        <v>610</v>
      </c>
      <c r="F41" s="125" t="s">
        <v>1302</v>
      </c>
      <c r="G41" s="9" t="s">
        <v>1194</v>
      </c>
      <c r="H41" s="9" t="s">
        <v>1303</v>
      </c>
      <c r="I41" s="9" t="s">
        <v>46</v>
      </c>
      <c r="N41" s="1"/>
      <c r="O41" s="1"/>
    </row>
    <row r="42" spans="1:15" s="3" customFormat="1" ht="15.75" customHeight="1" x14ac:dyDescent="0.35">
      <c r="A42" s="340"/>
      <c r="B42" s="5"/>
      <c r="C42" s="124" t="s">
        <v>143</v>
      </c>
      <c r="D42" s="125" t="s">
        <v>1304</v>
      </c>
      <c r="E42" s="125" t="s">
        <v>1052</v>
      </c>
      <c r="F42" s="125" t="s">
        <v>1305</v>
      </c>
      <c r="G42" s="9" t="s">
        <v>1194</v>
      </c>
      <c r="H42" s="9" t="s">
        <v>1306</v>
      </c>
      <c r="I42" s="9" t="s">
        <v>1307</v>
      </c>
      <c r="N42" s="1"/>
      <c r="O42" s="1"/>
    </row>
    <row r="43" spans="1:15" s="3" customFormat="1" x14ac:dyDescent="0.35">
      <c r="A43" s="340"/>
      <c r="B43" s="5"/>
      <c r="C43" s="124" t="s">
        <v>143</v>
      </c>
      <c r="D43" s="125" t="s">
        <v>1304</v>
      </c>
      <c r="E43" s="125" t="s">
        <v>610</v>
      </c>
      <c r="F43" s="125" t="s">
        <v>1308</v>
      </c>
      <c r="G43" s="9" t="s">
        <v>1194</v>
      </c>
      <c r="H43" s="9" t="s">
        <v>1309</v>
      </c>
      <c r="I43" s="9" t="s">
        <v>1310</v>
      </c>
      <c r="N43" s="1"/>
      <c r="O43" s="1"/>
    </row>
    <row r="44" spans="1:15" s="3" customFormat="1" ht="26" x14ac:dyDescent="0.35">
      <c r="A44" s="340"/>
      <c r="B44" s="5"/>
      <c r="C44" s="124" t="s">
        <v>143</v>
      </c>
      <c r="D44" s="125" t="s">
        <v>1311</v>
      </c>
      <c r="E44" s="125" t="s">
        <v>1312</v>
      </c>
      <c r="F44" s="125" t="s">
        <v>1313</v>
      </c>
      <c r="G44" s="9" t="s">
        <v>1194</v>
      </c>
      <c r="H44" s="9" t="s">
        <v>1314</v>
      </c>
      <c r="I44" s="9" t="s">
        <v>1315</v>
      </c>
      <c r="N44" s="1"/>
      <c r="O44" s="1"/>
    </row>
    <row r="45" spans="1:15" s="3" customFormat="1" ht="26" x14ac:dyDescent="0.35">
      <c r="A45" s="340"/>
      <c r="B45" s="5"/>
      <c r="C45" s="124" t="s">
        <v>143</v>
      </c>
      <c r="D45" s="125" t="s">
        <v>1311</v>
      </c>
      <c r="E45" s="125" t="s">
        <v>1312</v>
      </c>
      <c r="F45" s="125" t="s">
        <v>1316</v>
      </c>
      <c r="G45" s="9" t="s">
        <v>1208</v>
      </c>
      <c r="H45" s="9" t="s">
        <v>1317</v>
      </c>
      <c r="I45" s="9" t="s">
        <v>1318</v>
      </c>
      <c r="N45" s="1"/>
      <c r="O45" s="1"/>
    </row>
  </sheetData>
  <mergeCells count="2">
    <mergeCell ref="C1:H1"/>
    <mergeCell ref="A3:A45"/>
  </mergeCells>
  <conditionalFormatting sqref="G4:G45">
    <cfRule type="cellIs" dxfId="3" priority="1" operator="equal">
      <formula>"Exceeded."</formula>
    </cfRule>
    <cfRule type="cellIs" dxfId="2" priority="2" operator="equal">
      <formula>"Met."</formula>
    </cfRule>
    <cfRule type="cellIs" dxfId="1" priority="3" operator="equal">
      <formula>"Partially met."</formula>
    </cfRule>
    <cfRule type="cellIs" dxfId="0" priority="4" operator="equal">
      <formula>"Not met."</formula>
    </cfRule>
  </conditionalFormatting>
  <hyperlinks>
    <hyperlink ref="I1" location="Tab_Menu" display=" Back to Menu" xr:uid="{874AE97A-EC8A-4967-9006-6042DB0539EA}"/>
  </hyperlink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B469CA578C34784D6731BEBA9EC31" ma:contentTypeVersion="18" ma:contentTypeDescription="Create a new document." ma:contentTypeScope="" ma:versionID="f25b6eb341ede95d8843a472379373d7">
  <xsd:schema xmlns:xsd="http://www.w3.org/2001/XMLSchema" xmlns:xs="http://www.w3.org/2001/XMLSchema" xmlns:p="http://schemas.microsoft.com/office/2006/metadata/properties" xmlns:ns3="e670b027-9205-4ef2-b90f-f7ae1f59d59f" xmlns:ns4="484d1d9d-17f8-4a36-91a3-9d49cdaf407e" targetNamespace="http://schemas.microsoft.com/office/2006/metadata/properties" ma:root="true" ma:fieldsID="741c6d32233d1cb75604c994b99a40cf" ns3:_="" ns4:_="">
    <xsd:import namespace="e670b027-9205-4ef2-b90f-f7ae1f59d59f"/>
    <xsd:import namespace="484d1d9d-17f8-4a36-91a3-9d49cdaf40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0b027-9205-4ef2-b90f-f7ae1f59d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4d1d9d-17f8-4a36-91a3-9d49cdaf40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670b027-9205-4ef2-b90f-f7ae1f59d5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D74C12-9303-4D31-A3E0-432AE8BB1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0b027-9205-4ef2-b90f-f7ae1f59d59f"/>
    <ds:schemaRef ds:uri="484d1d9d-17f8-4a36-91a3-9d49cdaf4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94F5E4-5323-48CA-A6FC-85EA909C8B3B}">
  <ds:schemaRefs>
    <ds:schemaRef ds:uri="http://schemas.microsoft.com/office/2006/metadata/properties"/>
    <ds:schemaRef ds:uri="http://schemas.microsoft.com/office/infopath/2007/PartnerControls"/>
    <ds:schemaRef ds:uri="e670b027-9205-4ef2-b90f-f7ae1f59d59f"/>
  </ds:schemaRefs>
</ds:datastoreItem>
</file>

<file path=customXml/itemProps3.xml><?xml version="1.0" encoding="utf-8"?>
<ds:datastoreItem xmlns:ds="http://schemas.openxmlformats.org/officeDocument/2006/customXml" ds:itemID="{816EBD3E-6A52-489B-88BF-84E72278D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Guidance Note</vt:lpstr>
      <vt:lpstr>00. GRI &amp; SASB Context Index</vt:lpstr>
      <vt:lpstr>E01. Env. &amp; Biodiversity Mgmt.</vt:lpstr>
      <vt:lpstr>E02. Water &amp; Effluents</vt:lpstr>
      <vt:lpstr>E03. Waste &amp; Materials</vt:lpstr>
      <vt:lpstr>E04. Climate Action</vt:lpstr>
      <vt:lpstr>S01. Labor Rights</vt:lpstr>
      <vt:lpstr>S02. Health &amp; Safety</vt:lpstr>
      <vt:lpstr>S03. Communities &amp; IPs</vt:lpstr>
      <vt:lpstr>S04. Land &amp; Resource Rights</vt:lpstr>
      <vt:lpstr>S05. SocioEcon. Contributions</vt:lpstr>
      <vt:lpstr>G01. Corp. Gov &amp; Buss. Ethics</vt:lpstr>
      <vt:lpstr>G04. Security Practices</vt:lpstr>
      <vt:lpstr>01. Sustainability Dashboard</vt:lpstr>
      <vt:lpstr>About_the_data</vt:lpstr>
      <vt:lpstr>About_this_Document</vt:lpstr>
      <vt:lpstr>Biodiversity_Overview</vt:lpstr>
      <vt:lpstr>Change_in_Water_Use_Efficiency_over_Time__SDG_6.4.1</vt:lpstr>
      <vt:lpstr>Closure_and_Rehabilitation</vt:lpstr>
      <vt:lpstr>Community_Grievances__GRI_14.10.4</vt:lpstr>
      <vt:lpstr>Compliance</vt:lpstr>
      <vt:lpstr>Direct_Economic_Value_</vt:lpstr>
      <vt:lpstr>Diversity_of_Employees__GRI_405_1__14.21.5</vt:lpstr>
      <vt:lpstr>Diversity_of_Governance</vt:lpstr>
      <vt:lpstr>Employees__GRI_2_7</vt:lpstr>
      <vt:lpstr>Energy_Consumption</vt:lpstr>
      <vt:lpstr>Energy_Intensity</vt:lpstr>
      <vt:lpstr>Infrastructure_Investments</vt:lpstr>
      <vt:lpstr>List_of_Material_Topics</vt:lpstr>
      <vt:lpstr>new_hires_turnover</vt:lpstr>
      <vt:lpstr>Non_Mineral_Waste_Directed</vt:lpstr>
      <vt:lpstr>Non_Mineral_Waste_Diverted</vt:lpstr>
      <vt:lpstr>Operations_with_local_community_engagement</vt:lpstr>
      <vt:lpstr>Parental_leave</vt:lpstr>
      <vt:lpstr>Proportion_of_bodies_of_water_with_good_ambient_water_quality__SDG_6.3.2</vt:lpstr>
      <vt:lpstr>Proportion_of_Spending_on_Local_Suppliers__GRI_204_1__14.9.5</vt:lpstr>
      <vt:lpstr>Ratio_of_Basic_Salary</vt:lpstr>
      <vt:lpstr>References_</vt:lpstr>
      <vt:lpstr>Resettlement</vt:lpstr>
      <vt:lpstr>Scope_1_GHG_Emissions</vt:lpstr>
      <vt:lpstr>Scope_2_GHG_Emissions</vt:lpstr>
      <vt:lpstr>Security_Personnel_Trained_in_Human_Rights_Policies_or_Procedures__GRI_410_01__14.14.2</vt:lpstr>
      <vt:lpstr>Senior_Management_Hired</vt:lpstr>
      <vt:lpstr>Significant_Actual_and_Potential_</vt:lpstr>
      <vt:lpstr>Significant_Air_Emissions</vt:lpstr>
      <vt:lpstr>Significant_Indirect_Economic_Impacts__GRI_203_2</vt:lpstr>
      <vt:lpstr>Structure_of_the_databook</vt:lpstr>
      <vt:lpstr>Tab_Menu</vt:lpstr>
      <vt:lpstr>Tailings_Facilities_Inventory</vt:lpstr>
      <vt:lpstr>Total_GHG_Emissions___Intensity_Rate</vt:lpstr>
      <vt:lpstr>Total_number_of_employees</vt:lpstr>
      <vt:lpstr>Waste_Generated</vt:lpstr>
      <vt:lpstr>Water_Consumption</vt:lpstr>
      <vt:lpstr>Water_Discharge</vt:lpstr>
      <vt:lpstr>Water_Withdrawal</vt:lpstr>
      <vt:lpstr>Work_related_ill_health</vt:lpstr>
      <vt:lpstr>Work_related_injuries</vt:lpstr>
      <vt:lpstr>Workers_Hired_from_the_Loca</vt:lpstr>
      <vt:lpstr>Workers_who_are_not_employees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Janet Reid</cp:lastModifiedBy>
  <cp:revision/>
  <dcterms:created xsi:type="dcterms:W3CDTF">2025-03-01T21:50:17Z</dcterms:created>
  <dcterms:modified xsi:type="dcterms:W3CDTF">2025-05-26T16:08:32Z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0x010100AD3B469CA578C34784D6731BEBA9EC31</vt:lpwstr>
  </property>
</Properties>
</file>