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Income Statement, KPIs" sheetId="2" r:id="rId5"/>
    <sheet state="visible" name="Cash Flow" sheetId="3" r:id="rId6"/>
    <sheet state="visible" name="Revenue_NEW CLASSIFICATION" sheetId="4" r:id="rId7"/>
    <sheet state="visible" name="Revenue_up to 2022" sheetId="5" r:id="rId8"/>
  </sheets>
  <definedNames/>
  <calcPr/>
</workbook>
</file>

<file path=xl/sharedStrings.xml><?xml version="1.0" encoding="utf-8"?>
<sst xmlns="http://schemas.openxmlformats.org/spreadsheetml/2006/main" count="374" uniqueCount="219">
  <si>
    <t xml:space="preserve">CI&amp;T </t>
  </si>
  <si>
    <t>(In thousands of Brazilian reais)</t>
  </si>
  <si>
    <t>Restated</t>
  </si>
  <si>
    <t>December 31, 2019</t>
  </si>
  <si>
    <t>December 31, 2020</t>
  </si>
  <si>
    <t>September 30, 2021</t>
  </si>
  <si>
    <t>December 31, 2021</t>
  </si>
  <si>
    <t>March 31, 2022</t>
  </si>
  <si>
    <t>June 30, 2022</t>
  </si>
  <si>
    <t>September 30, 2022</t>
  </si>
  <si>
    <t>December 31, 2022</t>
  </si>
  <si>
    <t>Assets</t>
  </si>
  <si>
    <t>Cash and cash equivalents</t>
  </si>
  <si>
    <t>Financial investments</t>
  </si>
  <si>
    <t>Accounts receivables</t>
  </si>
  <si>
    <t>Contract assets</t>
  </si>
  <si>
    <t>Recoverable taxes</t>
  </si>
  <si>
    <t>Tax assets</t>
  </si>
  <si>
    <t>Non derivatives - hedge accounting</t>
  </si>
  <si>
    <t>Derivatives</t>
  </si>
  <si>
    <t>Restricted cash</t>
  </si>
  <si>
    <t>Other assets</t>
  </si>
  <si>
    <t>Total current assets</t>
  </si>
  <si>
    <t>Deferred tax assets</t>
  </si>
  <si>
    <t>Judicial deposits</t>
  </si>
  <si>
    <t>Property, plant and equipment</t>
  </si>
  <si>
    <t>Intangible assets and goodwill</t>
  </si>
  <si>
    <t>Right-of-use assets</t>
  </si>
  <si>
    <t>Total non-current assets</t>
  </si>
  <si>
    <t>Total assets</t>
  </si>
  <si>
    <t>Liabilities and equity</t>
  </si>
  <si>
    <t>Suppliers and other payables</t>
  </si>
  <si>
    <t>Loans and borrowings</t>
  </si>
  <si>
    <t>Lease liabilities</t>
  </si>
  <si>
    <t>Salaries and welfare charges</t>
  </si>
  <si>
    <t>Accounts payable for business acquired</t>
  </si>
  <si>
    <t>Non-derivatives - hedge accounting</t>
  </si>
  <si>
    <t>Tax liabilities</t>
  </si>
  <si>
    <t>Other taxes payable</t>
  </si>
  <si>
    <t>Dividends and interest on equity payable</t>
  </si>
  <si>
    <t>Contract liabilities</t>
  </si>
  <si>
    <t>Indemnity</t>
  </si>
  <si>
    <t>Other liabilities</t>
  </si>
  <si>
    <t>Total current liabilities</t>
  </si>
  <si>
    <t>Deferred tax liabilities</t>
  </si>
  <si>
    <t>Provisions</t>
  </si>
  <si>
    <t>-</t>
  </si>
  <si>
    <t>Total non-current liabilities</t>
  </si>
  <si>
    <t>Equity</t>
  </si>
  <si>
    <t>Share capital</t>
  </si>
  <si>
    <t>Share premium</t>
  </si>
  <si>
    <t>Treasury share reserve</t>
  </si>
  <si>
    <t>Capital reserves</t>
  </si>
  <si>
    <t>Profit reserves</t>
  </si>
  <si>
    <t>Other comprehensive income</t>
  </si>
  <si>
    <t>Total equity</t>
  </si>
  <si>
    <t>Total equity and liabilities</t>
  </si>
  <si>
    <t>1H2020</t>
  </si>
  <si>
    <t>3Q2020</t>
  </si>
  <si>
    <t>9M2020</t>
  </si>
  <si>
    <t>4Q2020</t>
  </si>
  <si>
    <t>1Q21</t>
  </si>
  <si>
    <t>2Q21</t>
  </si>
  <si>
    <t>6M2021</t>
  </si>
  <si>
    <t>3Q2021</t>
  </si>
  <si>
    <t>9M2021</t>
  </si>
  <si>
    <t>4Q2021</t>
  </si>
  <si>
    <t>1Q22</t>
  </si>
  <si>
    <t>2Q22</t>
  </si>
  <si>
    <t>6M22</t>
  </si>
  <si>
    <t>3Q22</t>
  </si>
  <si>
    <t>9M22</t>
  </si>
  <si>
    <t>4Q22</t>
  </si>
  <si>
    <t>1Q23</t>
  </si>
  <si>
    <t>2Q23</t>
  </si>
  <si>
    <t>6M23</t>
  </si>
  <si>
    <t>3Q23</t>
  </si>
  <si>
    <t>9M23</t>
  </si>
  <si>
    <t>4Q23</t>
  </si>
  <si>
    <t>1Q24</t>
  </si>
  <si>
    <t>2Q24</t>
  </si>
  <si>
    <t>6M24</t>
  </si>
  <si>
    <t>3Q24</t>
  </si>
  <si>
    <t>9M24</t>
  </si>
  <si>
    <t>Net Revenue</t>
  </si>
  <si>
    <t xml:space="preserve">  YoY growth</t>
  </si>
  <si>
    <t xml:space="preserve">  QoQ growth</t>
  </si>
  <si>
    <t>Costs of services provided</t>
  </si>
  <si>
    <t>Gross Profit</t>
  </si>
  <si>
    <t xml:space="preserve">Selling, general, administrative and other expenses </t>
  </si>
  <si>
    <t xml:space="preserve">   Selling</t>
  </si>
  <si>
    <t xml:space="preserve">   General and Administrative</t>
  </si>
  <si>
    <t xml:space="preserve">   Other </t>
  </si>
  <si>
    <t>Impairment loss on trade receivables and contract assets</t>
  </si>
  <si>
    <t>Operating profit before financial income</t>
  </si>
  <si>
    <t xml:space="preserve">   Finance income</t>
  </si>
  <si>
    <t xml:space="preserve">   Finance costs</t>
  </si>
  <si>
    <t>Net finance costs</t>
  </si>
  <si>
    <t>Profit before income tax</t>
  </si>
  <si>
    <t xml:space="preserve">Income tax expense </t>
  </si>
  <si>
    <t>Net profit for the period</t>
  </si>
  <si>
    <t>&gt;&gt; Non IFRS Measures</t>
  </si>
  <si>
    <t>Reconciliation of Adjusted Profit</t>
  </si>
  <si>
    <t xml:space="preserve">Gross Profit </t>
  </si>
  <si>
    <t>Adjustments</t>
  </si>
  <si>
    <t xml:space="preserve"> Depreciation and amortization (cost of services provided)</t>
  </si>
  <si>
    <t xml:space="preserve"> Stock-based compensation</t>
  </si>
  <si>
    <t xml:space="preserve">Adjusted Gross Profit </t>
  </si>
  <si>
    <t>Adjusted Gross Profit Margin</t>
  </si>
  <si>
    <t>37.1%</t>
  </si>
  <si>
    <t>37.5%</t>
  </si>
  <si>
    <t>Reconciliation of Adjusted EBITDA</t>
  </si>
  <si>
    <t>Net profit (loss) for the period</t>
  </si>
  <si>
    <t xml:space="preserve"> Net finance costs</t>
  </si>
  <si>
    <t xml:space="preserve"> Income tax expense </t>
  </si>
  <si>
    <t xml:space="preserve"> Depreciation and amortization</t>
  </si>
  <si>
    <t xml:space="preserve"> Share-based compensation</t>
  </si>
  <si>
    <t xml:space="preserve"> Consulting expenses</t>
  </si>
  <si>
    <t xml:space="preserve"> Government grants</t>
  </si>
  <si>
    <t xml:space="preserve"> Impairment</t>
  </si>
  <si>
    <t xml:space="preserve"> Acquisition-related expenses </t>
  </si>
  <si>
    <t xml:space="preserve"> Business restructuring</t>
  </si>
  <si>
    <t xml:space="preserve"> Others</t>
  </si>
  <si>
    <t>Adjusted EBITDA</t>
  </si>
  <si>
    <t>Adjusted EBITDA Margin</t>
  </si>
  <si>
    <t xml:space="preserve">Reconciliation of Adjusted Net Profit </t>
  </si>
  <si>
    <t xml:space="preserve"> Stock-based compensation (1)</t>
  </si>
  <si>
    <t xml:space="preserve"> Tax effect on non-IFRS adjustments (2)</t>
  </si>
  <si>
    <t>Adjusted Net Profit for the period</t>
  </si>
  <si>
    <t>Adjusted Net Profit Margin for the period</t>
  </si>
  <si>
    <t>&gt;&gt; KPIs</t>
  </si>
  <si>
    <t xml:space="preserve"> Headcount</t>
  </si>
  <si>
    <t>Notes:</t>
  </si>
  <si>
    <t>(1) As of 1Q24, we are adding back stock-based compensation expenses to the Adjusted Net Profit calculation. Thus, comparison with previously reported numbers will differ. We are adjusting those numbers starting from 1Q23 and onwards.</t>
  </si>
  <si>
    <t>(2) As of 4Q23, we are contemplating the tax effects on non-IFRS adjustments as part of the Adjusted Net Profit calculation. Thus, comparison with previously reported numbers will differ. We are adjusting those numbers starting from 1Q23 and onwards.</t>
  </si>
  <si>
    <t>Cash flow from operating activities</t>
  </si>
  <si>
    <t>Adjustments for:</t>
  </si>
  <si>
    <t>Depreciation and amortization</t>
  </si>
  <si>
    <t>Gain/loss on the sale of property, plant and equipment and intangible assets</t>
  </si>
  <si>
    <t>Interest, monetary variation and exchange rate changes</t>
  </si>
  <si>
    <t>Unrealized loss (gain) on financial instruments</t>
  </si>
  <si>
    <t>Income tax expenses</t>
  </si>
  <si>
    <t>(Reversal of) impairment losses on trade receivables and contract assets</t>
  </si>
  <si>
    <t>Write-off of intangible assets</t>
  </si>
  <si>
    <t>(Reversal of) provision for labor risks</t>
  </si>
  <si>
    <t>Provision for indemnity</t>
  </si>
  <si>
    <t>Share-based plan</t>
  </si>
  <si>
    <t>Present/fair value/price adjustment - accounts payable for business combination</t>
  </si>
  <si>
    <t>Restructuring expenses</t>
  </si>
  <si>
    <t>Others</t>
  </si>
  <si>
    <t>Variation in operating assets and liabilities</t>
  </si>
  <si>
    <t>Other taxes recoverable</t>
  </si>
  <si>
    <t>Other receivables and payables, net</t>
  </si>
  <si>
    <t>Cash generated from operating activities</t>
  </si>
  <si>
    <t>Income tax paid</t>
  </si>
  <si>
    <t>Interest paid on loans and borrowings</t>
  </si>
  <si>
    <t>Interest paid on lease</t>
  </si>
  <si>
    <t>Income tax refund</t>
  </si>
  <si>
    <t>Net cash from operating activities</t>
  </si>
  <si>
    <t>Cash flows from investment activities:</t>
  </si>
  <si>
    <t>Acquisition of property, plant and equipment and intangible assets</t>
  </si>
  <si>
    <t>Acquisition of subsidiary net of cash acquired</t>
  </si>
  <si>
    <t>Redemption (Contribution in) of financial investments</t>
  </si>
  <si>
    <t>Cash outflow on hedge accounting settlement</t>
  </si>
  <si>
    <t>Hedge accounting realization</t>
  </si>
  <si>
    <t>Hedge accounting - ineffective portion inflow</t>
  </si>
  <si>
    <t>Escrow deposit (acquisition of Somo)</t>
  </si>
  <si>
    <t>Net cash used in investment activities</t>
  </si>
  <si>
    <t>Cash flow from financing activities:</t>
  </si>
  <si>
    <t>Share-based plan contributions</t>
  </si>
  <si>
    <t>Issuance of common shares at initial public offering</t>
  </si>
  <si>
    <t>Transaction cost of offering</t>
  </si>
  <si>
    <t>Dividends paid</t>
  </si>
  <si>
    <t>Interest on equity, paid</t>
  </si>
  <si>
    <t>Payment of lease liabilities</t>
  </si>
  <si>
    <t>Proceeds from loans and borrowings</t>
  </si>
  <si>
    <t>Payment of loans and borrowings</t>
  </si>
  <si>
    <t>Payment of installment related to acquisition of business - Dextra</t>
  </si>
  <si>
    <t>Payment of investment obligations</t>
  </si>
  <si>
    <t>Exercised share-based compensation</t>
  </si>
  <si>
    <t>Settlement of derivatives</t>
  </si>
  <si>
    <t>Repurchase of treasury shares</t>
  </si>
  <si>
    <t>Net cash from financing activities</t>
  </si>
  <si>
    <t>Net increase (decrease) in cash and cash equivalents</t>
  </si>
  <si>
    <t xml:space="preserve">Cash and cash equivalents </t>
  </si>
  <si>
    <t>Exchange variation effect on cash and cash equivalents</t>
  </si>
  <si>
    <t>Cash reduction due to spin-off effect</t>
  </si>
  <si>
    <t>Revenue - New Industry Classification</t>
  </si>
  <si>
    <t>&gt;&gt; Revenues by industry vertical</t>
  </si>
  <si>
    <t>Financial Services</t>
  </si>
  <si>
    <t>Consumer Goods</t>
  </si>
  <si>
    <t>Retail and Industrial Goods</t>
  </si>
  <si>
    <t>Technology and Telecommunications</t>
  </si>
  <si>
    <t>Life Sciences</t>
  </si>
  <si>
    <t>Total</t>
  </si>
  <si>
    <t>&gt;&gt; Revenues by geographic region</t>
  </si>
  <si>
    <t>North America</t>
  </si>
  <si>
    <t>Europe</t>
  </si>
  <si>
    <t>Latin America</t>
  </si>
  <si>
    <t>Asia Pacific</t>
  </si>
  <si>
    <t>&gt;&gt; Top Clients</t>
  </si>
  <si>
    <t>Top Client</t>
  </si>
  <si>
    <t>Top Ten Clients</t>
  </si>
  <si>
    <t xml:space="preserve">Revenue </t>
  </si>
  <si>
    <t>3Q20</t>
  </si>
  <si>
    <t>9M20</t>
  </si>
  <si>
    <t>4Q20</t>
  </si>
  <si>
    <t>1H2021</t>
  </si>
  <si>
    <t>3Q21</t>
  </si>
  <si>
    <t>9M21</t>
  </si>
  <si>
    <t>4Q21</t>
  </si>
  <si>
    <t>Food and Beverage</t>
  </si>
  <si>
    <t>Technology, Media and Telecom</t>
  </si>
  <si>
    <t>Pharmaceuticals and Cosmetics</t>
  </si>
  <si>
    <t>Retail and Manufacturing</t>
  </si>
  <si>
    <t>Education and Services</t>
  </si>
  <si>
    <t>Logistic and Transportation</t>
  </si>
  <si>
    <t>LATAM (Latin America)</t>
  </si>
  <si>
    <t>APJ (Asia, Pacific and Japan)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</si>
</sst>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mmmm\ d\,\ yyyy"/>
    <numFmt numFmtId="165" formatCode="_(* #,##0_);_(* \(#,##0\);_(* \-_);_(@_)"/>
    <numFmt numFmtId="166" formatCode="_(* #,##0_);_(* \(#,##0\);_(* &quot;-&quot;??_);_(@_)"/>
    <numFmt numFmtId="167" formatCode="0.000"/>
    <numFmt numFmtId="168" formatCode="#,##0;(#,##0)"/>
    <numFmt numFmtId="169" formatCode="0.0%"/>
    <numFmt numFmtId="170" formatCode="#,##0;\(#,##0\)"/>
    <numFmt numFmtId="171" formatCode="_(* #,##0.00_);_(* \(#,##0.00\);_(* &quot;-&quot;??_);_(@_)"/>
    <numFmt numFmtId="172" formatCode="mmmm d, yyyy"/>
    <numFmt numFmtId="173" formatCode="_-* #,##0_-;\-* #,##0_-;_-* &quot;-&quot;??_-;_-@"/>
  </numFmts>
  <fonts count="11">
    <font>
      <sz val="10.0"/>
      <color rgb="FF000000"/>
      <name val="Arial"/>
      <scheme val="minor"/>
    </font>
    <font>
      <b/>
      <sz val="10.0"/>
      <color rgb="FFFFFFFF"/>
      <name val="Arial"/>
    </font>
    <font>
      <b/>
      <i/>
      <sz val="10.0"/>
      <color rgb="FFFFFFFF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  <font>
      <i/>
      <sz val="10.0"/>
      <color rgb="FF000000"/>
      <name val="Arial"/>
    </font>
    <font>
      <color theme="1"/>
      <name val="Arial"/>
    </font>
    <font>
      <b/>
      <i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D1941"/>
        <bgColor rgb="FFED194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164" xfId="0" applyAlignment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3" xfId="0" applyAlignment="1" applyFont="1" applyNumberFormat="1">
      <alignment vertical="center"/>
    </xf>
    <xf borderId="0" fillId="0" fontId="5" numFmtId="0" xfId="0" applyAlignment="1" applyFont="1">
      <alignment horizontal="left" shrinkToFit="0" vertical="center" wrapText="1"/>
    </xf>
    <xf borderId="0" fillId="0" fontId="3" numFmtId="165" xfId="0" applyAlignment="1" applyFont="1" applyNumberForma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4" numFmtId="3" xfId="0" applyAlignment="1" applyFont="1" applyNumberFormat="1">
      <alignment horizontal="right" shrinkToFit="0" vertical="center" wrapText="1"/>
    </xf>
    <xf borderId="0" fillId="0" fontId="4" numFmtId="3" xfId="0" applyAlignment="1" applyFont="1" applyNumberFormat="1">
      <alignment vertical="center"/>
    </xf>
    <xf borderId="0" fillId="0" fontId="4" numFmtId="3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vertical="center" wrapText="1"/>
    </xf>
    <xf borderId="0" fillId="3" fontId="5" numFmtId="41" xfId="0" applyAlignment="1" applyFill="1" applyFont="1" applyNumberFormat="1">
      <alignment horizontal="right" shrinkToFit="0" vertical="center" wrapText="1"/>
    </xf>
    <xf borderId="0" fillId="0" fontId="5" numFmtId="41" xfId="0" applyAlignment="1" applyFont="1" applyNumberFormat="1">
      <alignment horizontal="right" shrinkToFit="0" vertical="center" wrapText="1"/>
    </xf>
    <xf borderId="0" fillId="0" fontId="5" numFmtId="41" xfId="0" applyAlignment="1" applyFont="1" applyNumberFormat="1">
      <alignment horizontal="right" readingOrder="0" shrinkToFit="0" vertical="center" wrapText="1"/>
    </xf>
    <xf borderId="2" fillId="0" fontId="5" numFmtId="0" xfId="0" applyAlignment="1" applyBorder="1" applyFont="1">
      <alignment horizontal="left" shrinkToFit="0" vertical="center" wrapText="1"/>
    </xf>
    <xf borderId="2" fillId="0" fontId="4" numFmtId="3" xfId="0" applyAlignment="1" applyBorder="1" applyFont="1" applyNumberFormat="1">
      <alignment vertical="center"/>
    </xf>
    <xf borderId="0" fillId="0" fontId="3" numFmtId="166" xfId="0" applyAlignment="1" applyFont="1" applyNumberFormat="1">
      <alignment vertical="center"/>
    </xf>
    <xf borderId="0" fillId="0" fontId="4" numFmtId="166" xfId="0" applyAlignment="1" applyFont="1" applyNumberFormat="1">
      <alignment vertical="center"/>
    </xf>
    <xf borderId="2" fillId="0" fontId="4" numFmtId="0" xfId="0" applyAlignment="1" applyBorder="1" applyFont="1">
      <alignment horizontal="left" shrinkToFit="0" vertical="center" wrapText="1"/>
    </xf>
    <xf borderId="2" fillId="0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 shrinkToFit="0" vertical="center" wrapText="1"/>
    </xf>
    <xf borderId="3" fillId="3" fontId="3" numFmtId="166" xfId="0" applyAlignment="1" applyBorder="1" applyFont="1" applyNumberFormat="1">
      <alignment vertical="center"/>
    </xf>
    <xf borderId="3" fillId="0" fontId="3" numFmtId="166" xfId="0" applyAlignment="1" applyBorder="1" applyFont="1" applyNumberFormat="1">
      <alignment vertical="center"/>
    </xf>
    <xf borderId="4" fillId="0" fontId="3" numFmtId="0" xfId="0" applyAlignment="1" applyBorder="1" applyFont="1">
      <alignment horizontal="left" shrinkToFit="0" vertical="center" wrapText="1"/>
    </xf>
    <xf borderId="4" fillId="0" fontId="3" numFmtId="166" xfId="0" applyAlignment="1" applyBorder="1" applyFont="1" applyNumberFormat="1">
      <alignment vertical="center"/>
    </xf>
    <xf borderId="1" fillId="3" fontId="3" numFmtId="0" xfId="0" applyAlignment="1" applyBorder="1" applyFont="1">
      <alignment vertical="center"/>
    </xf>
    <xf borderId="1" fillId="3" fontId="3" numFmtId="167" xfId="0" applyAlignment="1" applyBorder="1" applyFont="1" applyNumberFormat="1">
      <alignment vertical="center"/>
    </xf>
    <xf borderId="1" fillId="3" fontId="4" numFmtId="3" xfId="0" applyAlignment="1" applyBorder="1" applyFont="1" applyNumberFormat="1">
      <alignment vertical="center"/>
    </xf>
    <xf borderId="5" fillId="0" fontId="3" numFmtId="0" xfId="0" applyAlignment="1" applyBorder="1" applyFont="1">
      <alignment horizontal="left" shrinkToFit="0" vertical="center" wrapText="1"/>
    </xf>
    <xf borderId="5" fillId="0" fontId="3" numFmtId="166" xfId="0" applyAlignment="1" applyBorder="1" applyFont="1" applyNumberFormat="1">
      <alignment vertical="center"/>
    </xf>
    <xf borderId="1" fillId="3" fontId="4" numFmtId="0" xfId="0" applyAlignment="1" applyBorder="1" applyFont="1">
      <alignment vertical="center"/>
    </xf>
    <xf borderId="0" fillId="0" fontId="4" numFmtId="166" xfId="0" applyAlignment="1" applyFont="1" applyNumberFormat="1">
      <alignment horizontal="right" shrinkToFit="0" vertical="center" wrapText="1"/>
    </xf>
    <xf borderId="5" fillId="0" fontId="3" numFmtId="0" xfId="0" applyAlignment="1" applyBorder="1" applyFont="1">
      <alignment vertical="center"/>
    </xf>
    <xf borderId="0" fillId="0" fontId="4" numFmtId="0" xfId="0" applyAlignment="1" applyFont="1">
      <alignment readingOrder="0" vertical="center"/>
    </xf>
    <xf borderId="0" fillId="0" fontId="4" numFmtId="166" xfId="0" applyAlignment="1" applyFont="1" applyNumberFormat="1">
      <alignment horizontal="right" readingOrder="0" shrinkToFit="0" vertical="center" wrapText="1"/>
    </xf>
    <xf borderId="5" fillId="0" fontId="6" numFmtId="166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1" fillId="2" fontId="2" numFmtId="0" xfId="0" applyAlignment="1" applyBorder="1" applyFont="1">
      <alignment horizontal="right" vertical="center"/>
    </xf>
    <xf borderId="0" fillId="0" fontId="4" numFmtId="0" xfId="0" applyAlignment="1" applyFont="1">
      <alignment horizontal="right" vertical="center"/>
    </xf>
    <xf borderId="1" fillId="4" fontId="3" numFmtId="0" xfId="0" applyAlignment="1" applyBorder="1" applyFill="1" applyFont="1">
      <alignment horizontal="center" shrinkToFit="0" vertical="center" wrapText="1"/>
    </xf>
    <xf borderId="0" fillId="4" fontId="3" numFmtId="0" xfId="0" applyAlignment="1" applyFont="1">
      <alignment horizontal="center" shrinkToFit="0" vertical="center" wrapText="1"/>
    </xf>
    <xf borderId="1" fillId="4" fontId="3" numFmtId="0" xfId="0" applyAlignment="1" applyBorder="1" applyFont="1">
      <alignment horizontal="center" readingOrder="0" shrinkToFit="0" vertical="center" wrapText="1"/>
    </xf>
    <xf borderId="1" fillId="4" fontId="4" numFmtId="0" xfId="0" applyAlignment="1" applyBorder="1" applyFont="1">
      <alignment vertical="center"/>
    </xf>
    <xf borderId="1" fillId="4" fontId="4" numFmtId="0" xfId="0" applyAlignment="1" applyBorder="1" applyFont="1">
      <alignment horizontal="right" vertical="center"/>
    </xf>
    <xf borderId="1" fillId="4" fontId="3" numFmtId="168" xfId="0" applyAlignment="1" applyBorder="1" applyFont="1" applyNumberFormat="1">
      <alignment vertical="center"/>
    </xf>
    <xf borderId="1" fillId="4" fontId="3" numFmtId="168" xfId="0" applyAlignment="1" applyBorder="1" applyFont="1" applyNumberFormat="1">
      <alignment horizontal="right" vertical="center"/>
    </xf>
    <xf borderId="0" fillId="0" fontId="3" numFmtId="168" xfId="0" applyAlignment="1" applyFont="1" applyNumberFormat="1">
      <alignment horizontal="right" vertical="center"/>
    </xf>
    <xf borderId="0" fillId="0" fontId="3" numFmtId="168" xfId="0" applyAlignment="1" applyFont="1" applyNumberFormat="1">
      <alignment horizontal="right" readingOrder="0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1" fillId="4" fontId="8" numFmtId="168" xfId="0" applyAlignment="1" applyBorder="1" applyFont="1" applyNumberFormat="1">
      <alignment vertical="center"/>
    </xf>
    <xf borderId="0" fillId="4" fontId="8" numFmtId="169" xfId="0" applyAlignment="1" applyFont="1" applyNumberFormat="1">
      <alignment horizontal="right" vertical="center"/>
    </xf>
    <xf borderId="0" fillId="0" fontId="8" numFmtId="169" xfId="0" applyAlignment="1" applyFont="1" applyNumberFormat="1">
      <alignment horizontal="right" vertical="center"/>
    </xf>
    <xf borderId="1" fillId="4" fontId="8" numFmtId="168" xfId="0" applyAlignment="1" applyBorder="1" applyFont="1" applyNumberFormat="1">
      <alignment horizontal="right" vertical="center"/>
    </xf>
    <xf borderId="0" fillId="4" fontId="8" numFmtId="168" xfId="0" applyAlignment="1" applyFont="1" applyNumberFormat="1">
      <alignment horizontal="right" vertical="center"/>
    </xf>
    <xf borderId="0" fillId="0" fontId="8" numFmtId="168" xfId="0" applyAlignment="1" applyFont="1" applyNumberFormat="1">
      <alignment horizontal="right" vertical="center"/>
    </xf>
    <xf borderId="1" fillId="4" fontId="4" numFmtId="168" xfId="0" applyAlignment="1" applyBorder="1" applyFont="1" applyNumberFormat="1">
      <alignment vertical="center"/>
    </xf>
    <xf borderId="1" fillId="4" fontId="4" numFmtId="168" xfId="0" applyAlignment="1" applyBorder="1" applyFont="1" applyNumberFormat="1">
      <alignment horizontal="right" vertical="center"/>
    </xf>
    <xf borderId="0" fillId="0" fontId="4" numFmtId="168" xfId="0" applyAlignment="1" applyFont="1" applyNumberFormat="1">
      <alignment horizontal="right" vertical="center"/>
    </xf>
    <xf borderId="0" fillId="0" fontId="4" numFmtId="168" xfId="0" applyAlignment="1" applyFont="1" applyNumberFormat="1">
      <alignment horizontal="right" readingOrder="0" vertical="center"/>
    </xf>
    <xf borderId="1" fillId="0" fontId="3" numFmtId="168" xfId="0" applyAlignment="1" applyBorder="1" applyFont="1" applyNumberFormat="1">
      <alignment vertical="center"/>
    </xf>
    <xf borderId="1" fillId="0" fontId="4" numFmtId="168" xfId="0" applyAlignment="1" applyBorder="1" applyFont="1" applyNumberFormat="1">
      <alignment vertical="center"/>
    </xf>
    <xf borderId="0" fillId="0" fontId="8" numFmtId="0" xfId="0" applyAlignment="1" applyFont="1">
      <alignment horizontal="left" vertical="center"/>
    </xf>
    <xf borderId="1" fillId="3" fontId="8" numFmtId="168" xfId="0" applyAlignment="1" applyBorder="1" applyFont="1" applyNumberFormat="1">
      <alignment horizontal="right" vertical="center"/>
    </xf>
    <xf borderId="0" fillId="0" fontId="8" numFmtId="168" xfId="0" applyAlignment="1" applyFont="1" applyNumberFormat="1">
      <alignment vertical="center"/>
    </xf>
    <xf borderId="0" fillId="0" fontId="8" numFmtId="168" xfId="0" applyAlignment="1" applyFont="1" applyNumberFormat="1">
      <alignment readingOrder="0" vertical="center"/>
    </xf>
    <xf borderId="0" fillId="0" fontId="8" numFmtId="168" xfId="0" applyAlignment="1" applyFont="1" applyNumberFormat="1">
      <alignment horizontal="right" readingOrder="0" vertical="center"/>
    </xf>
    <xf borderId="1" fillId="3" fontId="4" numFmtId="168" xfId="0" applyAlignment="1" applyBorder="1" applyFont="1" applyNumberFormat="1">
      <alignment horizontal="right" vertical="center"/>
    </xf>
    <xf borderId="1" fillId="3" fontId="3" numFmtId="168" xfId="0" applyAlignment="1" applyBorder="1" applyFont="1" applyNumberFormat="1">
      <alignment vertical="center"/>
    </xf>
    <xf borderId="1" fillId="3" fontId="4" numFmtId="168" xfId="0" applyAlignment="1" applyBorder="1" applyFont="1" applyNumberFormat="1">
      <alignment vertical="center"/>
    </xf>
    <xf borderId="2" fillId="0" fontId="4" numFmtId="0" xfId="0" applyAlignment="1" applyBorder="1" applyFont="1">
      <alignment vertical="center"/>
    </xf>
    <xf borderId="6" fillId="4" fontId="4" numFmtId="4" xfId="0" applyAlignment="1" applyBorder="1" applyFont="1" applyNumberFormat="1">
      <alignment vertical="center"/>
    </xf>
    <xf borderId="6" fillId="0" fontId="4" numFmtId="0" xfId="0" applyAlignment="1" applyBorder="1" applyFont="1">
      <alignment vertical="center"/>
    </xf>
    <xf borderId="1" fillId="4" fontId="4" numFmtId="166" xfId="0" applyAlignment="1" applyBorder="1" applyFont="1" applyNumberFormat="1">
      <alignment horizontal="right" shrinkToFit="0" vertical="center" wrapText="1"/>
    </xf>
    <xf borderId="1" fillId="4" fontId="4" numFmtId="166" xfId="0" applyAlignment="1" applyBorder="1" applyFont="1" applyNumberFormat="1">
      <alignment vertical="center"/>
    </xf>
    <xf borderId="1" fillId="4" fontId="4" numFmtId="166" xfId="0" applyAlignment="1" applyBorder="1" applyFont="1" applyNumberFormat="1">
      <alignment horizontal="right" vertical="center"/>
    </xf>
    <xf borderId="1" fillId="0" fontId="4" numFmtId="166" xfId="0" applyAlignment="1" applyBorder="1" applyFont="1" applyNumberFormat="1">
      <alignment horizontal="right" shrinkToFit="0" vertical="center" wrapText="1"/>
    </xf>
    <xf borderId="1" fillId="3" fontId="8" numFmtId="0" xfId="0" applyAlignment="1" applyBorder="1" applyFont="1">
      <alignment vertical="center"/>
    </xf>
    <xf borderId="1" fillId="4" fontId="3" numFmtId="0" xfId="0" applyAlignment="1" applyBorder="1" applyFont="1">
      <alignment horizontal="right" shrinkToFit="0" vertical="center" wrapText="1"/>
    </xf>
    <xf borderId="1" fillId="3" fontId="4" numFmtId="0" xfId="0" applyAlignment="1" applyBorder="1" applyFont="1">
      <alignment horizontal="left" vertical="center"/>
    </xf>
    <xf borderId="1" fillId="4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vertical="center"/>
    </xf>
    <xf borderId="0" fillId="0" fontId="4" numFmtId="3" xfId="0" applyAlignment="1" applyFont="1" applyNumberFormat="1">
      <alignment horizontal="right" readingOrder="0" vertical="center"/>
    </xf>
    <xf borderId="1" fillId="4" fontId="4" numFmtId="0" xfId="0" applyAlignment="1" applyBorder="1" applyFont="1">
      <alignment horizontal="right" shrinkToFit="0" vertical="center" wrapText="1"/>
    </xf>
    <xf borderId="1" fillId="4" fontId="4" numFmtId="3" xfId="0" applyAlignment="1" applyBorder="1" applyFont="1" applyNumberFormat="1">
      <alignment horizontal="right" vertical="center"/>
    </xf>
    <xf borderId="1" fillId="4" fontId="4" numFmtId="170" xfId="0" applyAlignment="1" applyBorder="1" applyFont="1" applyNumberFormat="1">
      <alignment horizontal="right" vertical="center"/>
    </xf>
    <xf borderId="1" fillId="4" fontId="3" numFmtId="166" xfId="0" applyAlignment="1" applyBorder="1" applyFont="1" applyNumberFormat="1">
      <alignment horizontal="right" shrinkToFit="0" vertical="center" wrapText="1"/>
    </xf>
    <xf borderId="1" fillId="0" fontId="3" numFmtId="166" xfId="0" applyAlignment="1" applyBorder="1" applyFont="1" applyNumberFormat="1">
      <alignment horizontal="right" shrinkToFit="0" vertical="center" wrapText="1"/>
    </xf>
    <xf borderId="1" fillId="3" fontId="3" numFmtId="0" xfId="0" applyAlignment="1" applyBorder="1" applyFont="1">
      <alignment shrinkToFit="0" vertical="center" wrapText="1"/>
    </xf>
    <xf borderId="1" fillId="4" fontId="3" numFmtId="169" xfId="0" applyAlignment="1" applyBorder="1" applyFont="1" applyNumberFormat="1">
      <alignment horizontal="right" shrinkToFit="0" vertical="center" wrapText="1"/>
    </xf>
    <xf borderId="1" fillId="4" fontId="3" numFmtId="0" xfId="0" applyAlignment="1" applyBorder="1" applyFont="1">
      <alignment horizontal="right" vertical="center"/>
    </xf>
    <xf borderId="1" fillId="0" fontId="3" numFmtId="169" xfId="0" applyAlignment="1" applyBorder="1" applyFont="1" applyNumberFormat="1">
      <alignment horizontal="right" shrinkToFit="0" vertical="center" wrapText="1"/>
    </xf>
    <xf borderId="1" fillId="3" fontId="4" numFmtId="0" xfId="0" applyAlignment="1" applyBorder="1" applyFont="1">
      <alignment shrinkToFit="0" vertical="center" wrapText="1"/>
    </xf>
    <xf borderId="1" fillId="4" fontId="3" numFmtId="167" xfId="0" applyAlignment="1" applyBorder="1" applyFont="1" applyNumberFormat="1">
      <alignment vertical="center"/>
    </xf>
    <xf borderId="1" fillId="4" fontId="3" numFmtId="167" xfId="0" applyAlignment="1" applyBorder="1" applyFont="1" applyNumberFormat="1">
      <alignment horizontal="right" vertical="center"/>
    </xf>
    <xf borderId="1" fillId="3" fontId="4" numFmtId="0" xfId="0" applyAlignment="1" applyBorder="1" applyFont="1">
      <alignment horizontal="left" shrinkToFit="0" vertical="center" wrapText="1"/>
    </xf>
    <xf borderId="1" fillId="3" fontId="4" numFmtId="166" xfId="0" applyAlignment="1" applyBorder="1" applyFont="1" applyNumberFormat="1">
      <alignment horizontal="right" shrinkToFit="0" vertical="center" wrapText="1"/>
    </xf>
    <xf borderId="1" fillId="3" fontId="4" numFmtId="0" xfId="0" applyAlignment="1" applyBorder="1" applyFont="1">
      <alignment horizontal="left" readingOrder="0" vertical="center"/>
    </xf>
    <xf borderId="1" fillId="3" fontId="4" numFmtId="1" xfId="0" applyAlignment="1" applyBorder="1" applyFont="1" applyNumberFormat="1">
      <alignment horizontal="right" shrinkToFit="0" vertical="center" wrapText="1"/>
    </xf>
    <xf borderId="1" fillId="3" fontId="4" numFmtId="1" xfId="0" applyAlignment="1" applyBorder="1" applyFont="1" applyNumberFormat="1">
      <alignment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3" fontId="4" numFmtId="170" xfId="0" applyAlignment="1" applyBorder="1" applyFont="1" applyNumberFormat="1">
      <alignment horizontal="right" shrinkToFit="0" vertical="center" wrapText="1"/>
    </xf>
    <xf borderId="1" fillId="3" fontId="4" numFmtId="166" xfId="0" applyAlignment="1" applyBorder="1" applyFont="1" applyNumberFormat="1">
      <alignment vertical="center"/>
    </xf>
    <xf borderId="1" fillId="0" fontId="4" numFmtId="166" xfId="0" applyAlignment="1" applyBorder="1" applyFont="1" applyNumberFormat="1">
      <alignment horizontal="right" readingOrder="0" shrinkToFit="0" vertical="center" wrapText="1"/>
    </xf>
    <xf borderId="1" fillId="3" fontId="4" numFmtId="171" xfId="0" applyAlignment="1" applyBorder="1" applyFont="1" applyNumberFormat="1">
      <alignment horizontal="right" shrinkToFit="0" vertical="center" wrapText="1"/>
    </xf>
    <xf borderId="0" fillId="0" fontId="4" numFmtId="171" xfId="0" applyAlignment="1" applyFont="1" applyNumberFormat="1">
      <alignment horizontal="right" shrinkToFit="0" vertical="center" wrapText="1"/>
    </xf>
    <xf borderId="1" fillId="3" fontId="4" numFmtId="166" xfId="0" applyAlignment="1" applyBorder="1" applyFont="1" applyNumberFormat="1">
      <alignment horizontal="center" shrinkToFit="0" vertical="center" wrapText="1"/>
    </xf>
    <xf borderId="1" fillId="0" fontId="4" numFmtId="166" xfId="0" applyAlignment="1" applyBorder="1" applyFont="1" applyNumberFormat="1">
      <alignment horizontal="center" shrinkToFit="0" vertical="center" wrapText="1"/>
    </xf>
    <xf borderId="1" fillId="3" fontId="3" numFmtId="166" xfId="0" applyAlignment="1" applyBorder="1" applyFont="1" applyNumberFormat="1">
      <alignment horizontal="right" shrinkToFit="0" vertical="center" wrapText="1"/>
    </xf>
    <xf borderId="0" fillId="0" fontId="3" numFmtId="166" xfId="0" applyAlignment="1" applyFont="1" applyNumberFormat="1">
      <alignment horizontal="right" shrinkToFit="0" vertical="center" wrapText="1"/>
    </xf>
    <xf borderId="1" fillId="3" fontId="6" numFmtId="166" xfId="0" applyAlignment="1" applyBorder="1" applyFont="1" applyNumberFormat="1">
      <alignment horizontal="right" shrinkToFit="0" vertical="center" wrapText="1"/>
    </xf>
    <xf borderId="1" fillId="0" fontId="6" numFmtId="166" xfId="0" applyAlignment="1" applyBorder="1" applyFont="1" applyNumberFormat="1">
      <alignment horizontal="right" shrinkToFit="0" vertical="center" wrapText="1"/>
    </xf>
    <xf borderId="1" fillId="3" fontId="3" numFmtId="169" xfId="0" applyAlignment="1" applyBorder="1" applyFont="1" applyNumberFormat="1">
      <alignment horizontal="right" shrinkToFit="0" vertical="center" wrapText="1"/>
    </xf>
    <xf borderId="0" fillId="0" fontId="3" numFmtId="169" xfId="0" applyAlignment="1" applyFont="1" applyNumberFormat="1">
      <alignment horizontal="right" shrinkToFit="0" vertical="center" wrapText="1"/>
    </xf>
    <xf borderId="1" fillId="3" fontId="6" numFmtId="169" xfId="0" applyAlignment="1" applyBorder="1" applyFont="1" applyNumberFormat="1">
      <alignment horizontal="right" shrinkToFit="0" vertical="center" wrapText="1"/>
    </xf>
    <xf borderId="1" fillId="0" fontId="6" numFmtId="169" xfId="0" applyAlignment="1" applyBorder="1" applyFont="1" applyNumberFormat="1">
      <alignment horizontal="right" shrinkToFit="0" vertical="center" wrapText="1"/>
    </xf>
    <xf borderId="1" fillId="3" fontId="4" numFmtId="169" xfId="0" applyAlignment="1" applyBorder="1" applyFont="1" applyNumberFormat="1">
      <alignment horizontal="right" shrinkToFit="0" vertical="center" wrapText="1"/>
    </xf>
    <xf borderId="0" fillId="0" fontId="4" numFmtId="169" xfId="0" applyAlignment="1" applyFont="1" applyNumberFormat="1">
      <alignment horizontal="right" shrinkToFit="0" vertical="center" wrapText="1"/>
    </xf>
    <xf borderId="1" fillId="3" fontId="3" numFmtId="167" xfId="0" applyAlignment="1" applyBorder="1" applyFont="1" applyNumberFormat="1">
      <alignment horizontal="right" shrinkToFit="0" vertical="center" wrapText="1"/>
    </xf>
    <xf borderId="1" fillId="3" fontId="3" numFmtId="167" xfId="0" applyAlignment="1" applyBorder="1" applyFont="1" applyNumberFormat="1">
      <alignment horizontal="right" vertical="center"/>
    </xf>
    <xf borderId="0" fillId="0" fontId="3" numFmtId="167" xfId="0" applyAlignment="1" applyFont="1" applyNumberFormat="1">
      <alignment horizontal="right" vertical="center"/>
    </xf>
    <xf borderId="1" fillId="3" fontId="4" numFmtId="167" xfId="0" applyAlignment="1" applyBorder="1" applyFont="1" applyNumberFormat="1">
      <alignment horizontal="right" shrinkToFit="0" vertical="center" wrapText="1"/>
    </xf>
    <xf borderId="1" fillId="3" fontId="4" numFmtId="167" xfId="0" applyAlignment="1" applyBorder="1" applyFont="1" applyNumberFormat="1">
      <alignment vertical="center"/>
    </xf>
    <xf borderId="1" fillId="3" fontId="4" numFmtId="167" xfId="0" applyAlignment="1" applyBorder="1" applyFont="1" applyNumberFormat="1">
      <alignment horizontal="right" vertical="center"/>
    </xf>
    <xf borderId="0" fillId="0" fontId="4" numFmtId="167" xfId="0" applyAlignment="1" applyFont="1" applyNumberFormat="1">
      <alignment horizontal="right" vertical="center"/>
    </xf>
    <xf borderId="0" fillId="0" fontId="4" numFmtId="166" xfId="0" applyAlignment="1" applyFont="1" applyNumberFormat="1">
      <alignment horizontal="right" vertical="center"/>
    </xf>
    <xf borderId="0" fillId="0" fontId="4" numFmtId="166" xfId="0" applyAlignment="1" applyFont="1" applyNumberFormat="1">
      <alignment horizontal="right" readingOrder="0" vertical="center"/>
    </xf>
    <xf borderId="1" fillId="3" fontId="4" numFmtId="165" xfId="0" applyAlignment="1" applyBorder="1" applyFont="1" applyNumberFormat="1">
      <alignment vertical="center"/>
    </xf>
    <xf borderId="1" fillId="3" fontId="3" numFmtId="165" xfId="0" applyAlignment="1" applyBorder="1" applyFont="1" applyNumberFormat="1">
      <alignment vertical="center"/>
    </xf>
    <xf borderId="1" fillId="0" fontId="3" numFmtId="165" xfId="0" applyAlignment="1" applyBorder="1" applyFont="1" applyNumberFormat="1">
      <alignment vertical="center"/>
    </xf>
    <xf borderId="6" fillId="4" fontId="4" numFmtId="10" xfId="0" applyAlignment="1" applyBorder="1" applyFont="1" applyNumberFormat="1">
      <alignment vertical="center"/>
    </xf>
    <xf borderId="6" fillId="4" fontId="4" numFmtId="0" xfId="0" applyAlignment="1" applyBorder="1" applyFont="1">
      <alignment vertical="center"/>
    </xf>
    <xf quotePrefix="1"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3" fontId="6" numFmtId="172" xfId="0" applyAlignment="1" applyFont="1" applyNumberFormat="1">
      <alignment horizontal="right" shrinkToFit="0" vertical="center" wrapText="1"/>
    </xf>
    <xf borderId="0" fillId="3" fontId="6" numFmtId="3" xfId="0" applyAlignment="1" applyFont="1" applyNumberFormat="1">
      <alignment shrinkToFit="0" vertical="center" wrapText="1"/>
    </xf>
    <xf borderId="1" fillId="4" fontId="3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0" fontId="9" numFmtId="0" xfId="0" applyAlignment="1" applyFon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4" numFmtId="165" xfId="0" applyAlignment="1" applyFont="1" applyNumberFormat="1">
      <alignment vertical="center"/>
    </xf>
    <xf borderId="0" fillId="3" fontId="10" numFmtId="3" xfId="0" applyAlignment="1" applyFont="1" applyNumberFormat="1">
      <alignment shrinkToFit="0" vertical="center" wrapText="1"/>
    </xf>
    <xf borderId="0" fillId="3" fontId="5" numFmtId="41" xfId="0" applyAlignment="1" applyFont="1" applyNumberFormat="1">
      <alignment vertical="center"/>
    </xf>
    <xf borderId="0" fillId="0" fontId="5" numFmtId="41" xfId="0" applyAlignment="1" applyFont="1" applyNumberFormat="1">
      <alignment vertical="center"/>
    </xf>
    <xf borderId="0" fillId="3" fontId="5" numFmtId="3" xfId="0" applyAlignment="1" applyFont="1" applyNumberFormat="1">
      <alignment shrinkToFit="0" vertical="center" wrapText="1"/>
    </xf>
    <xf borderId="0" fillId="3" fontId="5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7" numFmtId="0" xfId="0" applyAlignment="1" applyFont="1">
      <alignment readingOrder="0"/>
    </xf>
    <xf borderId="0" fillId="3" fontId="5" numFmtId="0" xfId="0" applyAlignment="1" applyFont="1">
      <alignment readingOrder="0" shrinkToFit="0" vertical="center" wrapText="1"/>
    </xf>
    <xf borderId="2" fillId="3" fontId="6" numFmtId="0" xfId="0" applyAlignment="1" applyBorder="1" applyFont="1">
      <alignment shrinkToFit="0" vertical="center" wrapText="1"/>
    </xf>
    <xf borderId="2" fillId="3" fontId="6" numFmtId="41" xfId="0" applyAlignment="1" applyBorder="1" applyFont="1" applyNumberFormat="1">
      <alignment horizontal="right" shrinkToFit="0" vertical="center" wrapText="1"/>
    </xf>
    <xf borderId="2" fillId="0" fontId="6" numFmtId="41" xfId="0" applyAlignment="1" applyBorder="1" applyFont="1" applyNumberFormat="1">
      <alignment horizontal="right" shrinkToFit="0" vertical="center" wrapText="1"/>
    </xf>
    <xf borderId="0" fillId="3" fontId="6" numFmtId="0" xfId="0" applyAlignment="1" applyFont="1">
      <alignment shrinkToFit="0" vertical="center" wrapText="1"/>
    </xf>
    <xf borderId="0" fillId="3" fontId="6" numFmtId="41" xfId="0" applyAlignment="1" applyFont="1" applyNumberFormat="1">
      <alignment horizontal="right" shrinkToFit="0" vertical="center" wrapText="1"/>
    </xf>
    <xf borderId="0" fillId="0" fontId="6" numFmtId="41" xfId="0" applyAlignment="1" applyFont="1" applyNumberFormat="1">
      <alignment horizontal="right" shrinkToFit="0" vertical="center" wrapText="1"/>
    </xf>
    <xf borderId="0" fillId="3" fontId="5" numFmtId="0" xfId="0" applyAlignment="1" applyFont="1">
      <alignment vertical="center"/>
    </xf>
    <xf borderId="2" fillId="3" fontId="5" numFmtId="3" xfId="0" applyAlignment="1" applyBorder="1" applyFont="1" applyNumberFormat="1">
      <alignment shrinkToFit="0" vertical="center" wrapText="1"/>
    </xf>
    <xf borderId="2" fillId="3" fontId="5" numFmtId="41" xfId="0" applyAlignment="1" applyBorder="1" applyFont="1" applyNumberFormat="1">
      <alignment horizontal="right" shrinkToFit="0" vertical="center" wrapText="1"/>
    </xf>
    <xf borderId="2" fillId="0" fontId="5" numFmtId="41" xfId="0" applyAlignment="1" applyBorder="1" applyFont="1" applyNumberFormat="1">
      <alignment horizontal="right" shrinkToFit="0" vertical="center" wrapText="1"/>
    </xf>
    <xf borderId="2" fillId="0" fontId="5" numFmtId="41" xfId="0" applyAlignment="1" applyBorder="1" applyFont="1" applyNumberFormat="1">
      <alignment horizontal="right" readingOrder="0" shrinkToFit="0" vertical="center" wrapText="1"/>
    </xf>
    <xf borderId="2" fillId="3" fontId="6" numFmtId="3" xfId="0" applyAlignment="1" applyBorder="1" applyFont="1" applyNumberFormat="1">
      <alignment shrinkToFit="0" vertical="center" wrapText="1"/>
    </xf>
    <xf borderId="1" fillId="2" fontId="2" numFmtId="169" xfId="0" applyAlignment="1" applyBorder="1" applyFont="1" applyNumberFormat="1">
      <alignment vertical="center"/>
    </xf>
    <xf borderId="0" fillId="2" fontId="2" numFmtId="169" xfId="0" applyAlignment="1" applyFont="1" applyNumberFormat="1">
      <alignment vertical="center"/>
    </xf>
    <xf borderId="0" fillId="0" fontId="4" numFmtId="169" xfId="0" applyAlignment="1" applyFont="1" applyNumberFormat="1">
      <alignment vertical="center"/>
    </xf>
    <xf borderId="0" fillId="0" fontId="4" numFmtId="3" xfId="0" applyAlignment="1" applyFont="1" applyNumberFormat="1">
      <alignment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173" xfId="0" applyAlignment="1" applyFont="1" applyNumberFormat="1">
      <alignment shrinkToFit="0" vertical="center" wrapText="1"/>
    </xf>
    <xf borderId="0" fillId="0" fontId="4" numFmtId="169" xfId="0" applyAlignment="1" applyFont="1" applyNumberFormat="1">
      <alignment shrinkToFit="0" vertical="center" wrapText="1"/>
    </xf>
    <xf borderId="0" fillId="3" fontId="5" numFmtId="3" xfId="0" applyAlignment="1" applyFont="1" applyNumberFormat="1">
      <alignment horizontal="right" vertical="center"/>
    </xf>
    <xf borderId="0" fillId="3" fontId="5" numFmtId="169" xfId="0" applyAlignment="1" applyFont="1" applyNumberFormat="1">
      <alignment horizontal="right" vertical="center"/>
    </xf>
    <xf borderId="1" fillId="3" fontId="5" numFmtId="3" xfId="0" applyAlignment="1" applyBorder="1" applyFont="1" applyNumberFormat="1">
      <alignment horizontal="right" vertical="center"/>
    </xf>
    <xf borderId="0" fillId="0" fontId="4" numFmtId="3" xfId="0" applyAlignment="1" applyFont="1" applyNumberFormat="1">
      <alignment shrinkToFit="0" vertical="center" wrapText="1"/>
    </xf>
    <xf borderId="0" fillId="3" fontId="9" numFmtId="0" xfId="0" applyAlignment="1" applyFont="1">
      <alignment vertical="center"/>
    </xf>
    <xf borderId="2" fillId="0" fontId="9" numFmtId="0" xfId="0" applyAlignment="1" applyBorder="1" applyFont="1">
      <alignment vertical="center"/>
    </xf>
    <xf borderId="7" fillId="3" fontId="3" numFmtId="0" xfId="0" applyAlignment="1" applyBorder="1" applyFont="1">
      <alignment shrinkToFit="0" vertical="center" wrapText="1"/>
    </xf>
    <xf borderId="4" fillId="0" fontId="3" numFmtId="173" xfId="0" applyAlignment="1" applyBorder="1" applyFont="1" applyNumberFormat="1">
      <alignment shrinkToFit="0" vertical="center" wrapText="1"/>
    </xf>
    <xf borderId="4" fillId="0" fontId="3" numFmtId="169" xfId="0" applyAlignment="1" applyBorder="1" applyFont="1" applyNumberForma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9" numFmtId="3" xfId="0" applyAlignment="1" applyFont="1" applyNumberFormat="1">
      <alignment horizontal="right" vertical="center"/>
    </xf>
    <xf borderId="0" fillId="0" fontId="9" numFmtId="169" xfId="0" applyAlignment="1" applyFont="1" applyNumberFormat="1">
      <alignment horizontal="right" vertical="center"/>
    </xf>
    <xf borderId="0" fillId="0" fontId="9" numFmtId="3" xfId="0" applyAlignment="1" applyFont="1" applyNumberFormat="1">
      <alignment horizontal="right" readingOrder="0" vertical="center"/>
    </xf>
    <xf borderId="1" fillId="3" fontId="4" numFmtId="0" xfId="0" applyAlignment="1" applyBorder="1" applyFont="1">
      <alignment readingOrder="0" shrinkToFit="0" vertical="center" wrapText="1"/>
    </xf>
    <xf borderId="6" fillId="3" fontId="5" numFmtId="3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vertical="center"/>
    </xf>
    <xf borderId="4" fillId="0" fontId="3" numFmtId="3" xfId="0" applyAlignment="1" applyBorder="1" applyFont="1" applyNumberFormat="1">
      <alignment vertical="center"/>
    </xf>
    <xf borderId="4" fillId="0" fontId="3" numFmtId="169" xfId="0" applyAlignment="1" applyBorder="1" applyFont="1" applyNumberFormat="1">
      <alignment vertical="center"/>
    </xf>
    <xf borderId="1" fillId="3" fontId="4" numFmtId="173" xfId="0" applyAlignment="1" applyBorder="1" applyFont="1" applyNumberFormat="1">
      <alignment horizontal="right" shrinkToFit="0" vertical="center" wrapText="1"/>
    </xf>
    <xf borderId="1" fillId="3" fontId="4" numFmtId="169" xfId="0" applyAlignment="1" applyBorder="1" applyFont="1" applyNumberFormat="1">
      <alignment shrinkToFit="0" vertical="center" wrapText="1"/>
    </xf>
    <xf borderId="0" fillId="3" fontId="4" numFmtId="3" xfId="0" applyAlignment="1" applyFont="1" applyNumberFormat="1">
      <alignment shrinkToFit="0" vertical="center" wrapText="1"/>
    </xf>
    <xf borderId="0" fillId="3" fontId="4" numFmtId="169" xfId="0" applyAlignment="1" applyFont="1" applyNumberFormat="1">
      <alignment shrinkToFit="0" vertical="center" wrapText="1"/>
    </xf>
    <xf borderId="1" fillId="2" fontId="5" numFmtId="0" xfId="0" applyAlignment="1" applyBorder="1" applyFont="1">
      <alignment vertical="center"/>
    </xf>
    <xf borderId="1" fillId="2" fontId="5" numFmtId="169" xfId="0" applyAlignment="1" applyBorder="1" applyFont="1" applyNumberFormat="1">
      <alignment vertical="center"/>
    </xf>
    <xf borderId="0" fillId="0" fontId="5" numFmtId="169" xfId="0" applyAlignment="1" applyFont="1" applyNumberFormat="1">
      <alignment vertical="center"/>
    </xf>
    <xf borderId="0" fillId="0" fontId="6" numFmtId="0" xfId="0" applyAlignment="1" applyFont="1">
      <alignment horizontal="center" shrinkToFit="0" vertical="center" wrapText="1"/>
    </xf>
    <xf borderId="0" fillId="0" fontId="4" numFmtId="173" xfId="0" applyAlignment="1" applyFont="1" applyNumberFormat="1">
      <alignment horizontal="right" shrinkToFit="0" vertical="center" wrapText="1"/>
    </xf>
    <xf borderId="0" fillId="0" fontId="5" numFmtId="173" xfId="0" applyAlignment="1" applyFont="1" applyNumberFormat="1">
      <alignment horizontal="right" shrinkToFit="0" vertical="center" wrapText="1"/>
    </xf>
    <xf borderId="0" fillId="0" fontId="5" numFmtId="169" xfId="0" applyAlignment="1" applyFont="1" applyNumberFormat="1">
      <alignment horizontal="right" shrinkToFit="0" vertical="center" wrapText="1"/>
    </xf>
    <xf borderId="2" fillId="0" fontId="5" numFmtId="173" xfId="0" applyAlignment="1" applyBorder="1" applyFont="1" applyNumberFormat="1">
      <alignment horizontal="right" shrinkToFit="0" vertical="center" wrapText="1"/>
    </xf>
    <xf borderId="4" fillId="0" fontId="3" numFmtId="173" xfId="0" applyAlignment="1" applyBorder="1" applyFont="1" applyNumberFormat="1">
      <alignment horizontal="right" shrinkToFit="0" vertical="center" wrapText="1"/>
    </xf>
    <xf borderId="4" fillId="0" fontId="3" numFmtId="169" xfId="0" applyAlignment="1" applyBorder="1" applyFont="1" applyNumberFormat="1">
      <alignment horizontal="right" shrinkToFit="0" vertical="center" wrapText="1"/>
    </xf>
    <xf borderId="2" fillId="0" fontId="6" numFmtId="173" xfId="0" applyAlignment="1" applyBorder="1" applyFont="1" applyNumberFormat="1">
      <alignment horizontal="right" shrinkToFit="0" vertical="center" wrapText="1"/>
    </xf>
    <xf borderId="0" fillId="0" fontId="3" numFmtId="169" xfId="0" applyAlignment="1" applyFont="1" applyNumberFormat="1">
      <alignment vertical="center"/>
    </xf>
    <xf borderId="0" fillId="0" fontId="5" numFmtId="3" xfId="0" applyAlignment="1" applyFont="1" applyNumberFormat="1">
      <alignment horizontal="right" vertical="center"/>
    </xf>
    <xf borderId="1" fillId="4" fontId="4" numFmtId="3" xfId="0" applyAlignment="1" applyBorder="1" applyFont="1" applyNumberFormat="1">
      <alignment vertical="center"/>
    </xf>
    <xf borderId="1" fillId="4" fontId="4" numFmtId="169" xfId="0" applyAlignment="1" applyBorder="1" applyFont="1" applyNumberFormat="1">
      <alignment vertical="center"/>
    </xf>
    <xf borderId="2" fillId="0" fontId="5" numFmtId="3" xfId="0" applyAlignment="1" applyBorder="1" applyFont="1" applyNumberFormat="1">
      <alignment horizontal="right" vertical="center"/>
    </xf>
    <xf borderId="7" fillId="3" fontId="3" numFmtId="3" xfId="0" applyAlignment="1" applyBorder="1" applyFont="1" applyNumberFormat="1">
      <alignment vertical="center"/>
    </xf>
    <xf borderId="1" fillId="3" fontId="4" numFmtId="173" xfId="0" applyAlignment="1" applyBorder="1" applyFont="1" applyNumberFormat="1">
      <alignment shrinkToFit="0" vertical="center" wrapText="1"/>
    </xf>
    <xf borderId="1" fillId="3" fontId="5" numFmtId="173" xfId="0" applyAlignment="1" applyBorder="1" applyFont="1" applyNumberFormat="1">
      <alignment horizontal="right" shrinkToFit="0" vertical="center" wrapText="1"/>
    </xf>
    <xf borderId="1" fillId="3" fontId="4" numFmtId="3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ED1941"/>
          <bgColor rgb="FFED1941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39.38"/>
    <col customWidth="1" min="3" max="10" width="16.75"/>
    <col customWidth="1" min="11" max="12" width="14.75"/>
    <col customWidth="1" min="13" max="17" width="16.5"/>
  </cols>
  <sheetData>
    <row r="1" ht="12.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2.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2.0" customHeight="1">
      <c r="A3" s="4"/>
      <c r="B3" s="4"/>
      <c r="C3" s="4"/>
      <c r="D3" s="4"/>
      <c r="E3" s="4"/>
      <c r="F3" s="4"/>
      <c r="G3" s="4"/>
      <c r="H3" s="4"/>
      <c r="I3" s="4"/>
      <c r="J3" s="5" t="s">
        <v>2</v>
      </c>
      <c r="K3" s="5" t="s">
        <v>2</v>
      </c>
      <c r="L3" s="5" t="s">
        <v>2</v>
      </c>
      <c r="M3" s="5" t="s">
        <v>2</v>
      </c>
      <c r="N3" s="5"/>
      <c r="O3" s="5"/>
      <c r="P3" s="5"/>
      <c r="Q3" s="5"/>
    </row>
    <row r="4">
      <c r="A4" s="4"/>
      <c r="B4" s="4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>
        <v>45016.0</v>
      </c>
      <c r="L4" s="6">
        <v>45107.0</v>
      </c>
      <c r="M4" s="6">
        <v>45199.0</v>
      </c>
      <c r="N4" s="6">
        <v>45291.0</v>
      </c>
      <c r="O4" s="6">
        <v>45382.0</v>
      </c>
      <c r="P4" s="6">
        <v>45473.0</v>
      </c>
      <c r="Q4" s="7">
        <v>45565.0</v>
      </c>
    </row>
    <row r="5" ht="4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2.0" customHeight="1">
      <c r="A6" s="4"/>
      <c r="B6" s="8" t="s">
        <v>11</v>
      </c>
      <c r="C6" s="9"/>
      <c r="D6" s="9"/>
      <c r="E6" s="9"/>
      <c r="F6" s="9"/>
      <c r="G6" s="9"/>
      <c r="H6" s="9"/>
      <c r="I6" s="9"/>
      <c r="J6" s="9"/>
      <c r="K6" s="4"/>
      <c r="L6" s="4"/>
      <c r="M6" s="4"/>
      <c r="N6" s="4"/>
      <c r="O6" s="4"/>
      <c r="P6" s="4"/>
      <c r="Q6" s="4"/>
    </row>
    <row r="7" ht="5.25" customHeight="1">
      <c r="A7" s="4"/>
      <c r="B7" s="10"/>
      <c r="C7" s="11"/>
      <c r="D7" s="11"/>
      <c r="E7" s="11"/>
      <c r="F7" s="11"/>
      <c r="G7" s="11"/>
      <c r="H7" s="11"/>
      <c r="I7" s="11"/>
      <c r="J7" s="11"/>
      <c r="K7" s="4"/>
      <c r="L7" s="4"/>
      <c r="M7" s="4"/>
      <c r="N7" s="4"/>
      <c r="O7" s="4"/>
      <c r="P7" s="4"/>
      <c r="Q7" s="4"/>
    </row>
    <row r="8" ht="12.0" customHeight="1">
      <c r="A8" s="4"/>
      <c r="B8" s="12" t="s">
        <v>12</v>
      </c>
      <c r="C8" s="13">
        <v>79500.0</v>
      </c>
      <c r="D8" s="13">
        <v>162827.0</v>
      </c>
      <c r="E8" s="13">
        <v>113417.0</v>
      </c>
      <c r="F8" s="13">
        <v>135727.0</v>
      </c>
      <c r="G8" s="13">
        <v>131827.0</v>
      </c>
      <c r="H8" s="13">
        <v>104190.0</v>
      </c>
      <c r="I8" s="13">
        <v>151850.0</v>
      </c>
      <c r="J8" s="13">
        <v>185727.0</v>
      </c>
      <c r="K8" s="14">
        <v>251550.0</v>
      </c>
      <c r="L8" s="14">
        <v>149232.0</v>
      </c>
      <c r="M8" s="14">
        <v>194295.0</v>
      </c>
      <c r="N8" s="14">
        <v>211638.0</v>
      </c>
      <c r="O8" s="14">
        <v>360296.0</v>
      </c>
      <c r="P8" s="15">
        <v>264770.0</v>
      </c>
      <c r="Q8" s="15">
        <v>383369.0</v>
      </c>
    </row>
    <row r="9" ht="12.0" customHeight="1">
      <c r="A9" s="4"/>
      <c r="B9" s="16" t="s">
        <v>13</v>
      </c>
      <c r="C9" s="17">
        <v>0.0</v>
      </c>
      <c r="D9" s="17">
        <v>0.0</v>
      </c>
      <c r="E9" s="17">
        <v>0.0</v>
      </c>
      <c r="F9" s="13">
        <v>798786.0</v>
      </c>
      <c r="G9" s="13">
        <v>405602.0</v>
      </c>
      <c r="H9" s="13">
        <v>253304.0</v>
      </c>
      <c r="I9" s="13">
        <v>181857.0</v>
      </c>
      <c r="J9" s="13">
        <v>96299.0</v>
      </c>
      <c r="K9" s="14">
        <v>93884.0</v>
      </c>
      <c r="L9" s="14">
        <v>35811.0</v>
      </c>
      <c r="M9" s="14">
        <v>39192.0</v>
      </c>
      <c r="N9" s="14">
        <v>3164.0</v>
      </c>
      <c r="O9" s="18">
        <v>0.0</v>
      </c>
      <c r="P9" s="19">
        <v>0.0</v>
      </c>
      <c r="Q9" s="19">
        <v>0.0</v>
      </c>
    </row>
    <row r="10" ht="12.0" customHeight="1">
      <c r="A10" s="4"/>
      <c r="B10" s="16" t="s">
        <v>14</v>
      </c>
      <c r="C10" s="13">
        <v>128184.0</v>
      </c>
      <c r="D10" s="13">
        <v>196256.0</v>
      </c>
      <c r="E10" s="13">
        <v>318400.0</v>
      </c>
      <c r="F10" s="13">
        <v>340519.0</v>
      </c>
      <c r="G10" s="13">
        <v>310380.0</v>
      </c>
      <c r="H10" s="13">
        <v>416728.0</v>
      </c>
      <c r="I10" s="13">
        <v>462793.0</v>
      </c>
      <c r="J10" s="13">
        <v>501671.0</v>
      </c>
      <c r="K10" s="14">
        <v>445455.0</v>
      </c>
      <c r="L10" s="14">
        <v>467731.0</v>
      </c>
      <c r="M10" s="14">
        <v>422218.0</v>
      </c>
      <c r="N10" s="14">
        <v>471951.0</v>
      </c>
      <c r="O10" s="14">
        <v>312016.0</v>
      </c>
      <c r="P10" s="15">
        <v>442826.0</v>
      </c>
      <c r="Q10" s="15">
        <v>445197.0</v>
      </c>
    </row>
    <row r="11" ht="12.0" customHeight="1">
      <c r="A11" s="4"/>
      <c r="B11" s="12" t="s">
        <v>15</v>
      </c>
      <c r="C11" s="13">
        <v>36493.0</v>
      </c>
      <c r="D11" s="13">
        <v>50625.0</v>
      </c>
      <c r="E11" s="13">
        <v>147603.0</v>
      </c>
      <c r="F11" s="13">
        <v>134388.0</v>
      </c>
      <c r="G11" s="13">
        <v>212976.0</v>
      </c>
      <c r="H11" s="13">
        <v>231695.0</v>
      </c>
      <c r="I11" s="13">
        <v>229165.0</v>
      </c>
      <c r="J11" s="13">
        <v>217250.0</v>
      </c>
      <c r="K11" s="14">
        <v>232459.0</v>
      </c>
      <c r="L11" s="14">
        <v>218391.0</v>
      </c>
      <c r="M11" s="14">
        <v>239796.0</v>
      </c>
      <c r="N11" s="14">
        <v>147620.0</v>
      </c>
      <c r="O11" s="14">
        <v>250998.0</v>
      </c>
      <c r="P11" s="15">
        <v>268693.0</v>
      </c>
      <c r="Q11" s="15">
        <v>252513.0</v>
      </c>
    </row>
    <row r="12" ht="12.0" customHeight="1">
      <c r="A12" s="4"/>
      <c r="B12" s="12" t="s">
        <v>16</v>
      </c>
      <c r="C12" s="13">
        <v>1886.0</v>
      </c>
      <c r="D12" s="13">
        <v>1016.0</v>
      </c>
      <c r="E12" s="13">
        <v>7933.0</v>
      </c>
      <c r="F12" s="13">
        <v>7785.0</v>
      </c>
      <c r="G12" s="13">
        <v>10532.0</v>
      </c>
      <c r="H12" s="13">
        <v>17196.0</v>
      </c>
      <c r="I12" s="13">
        <v>6667.0</v>
      </c>
      <c r="J12" s="13">
        <v>17922.0</v>
      </c>
      <c r="K12" s="14">
        <f>15051+11682</f>
        <v>26733</v>
      </c>
      <c r="L12" s="14">
        <f>22401+13061 </f>
        <v>35462</v>
      </c>
      <c r="M12" s="14">
        <f>19739+14440</f>
        <v>34179</v>
      </c>
      <c r="N12" s="14">
        <v>23588.0</v>
      </c>
      <c r="O12" s="14">
        <v>38400.0</v>
      </c>
      <c r="P12" s="15">
        <v>37504.0</v>
      </c>
      <c r="Q12" s="15">
        <v>41983.0</v>
      </c>
    </row>
    <row r="13" ht="12.0" customHeight="1">
      <c r="A13" s="4"/>
      <c r="B13" s="12" t="s">
        <v>17</v>
      </c>
      <c r="C13" s="13">
        <v>520.0</v>
      </c>
      <c r="D13" s="13">
        <v>2117.0</v>
      </c>
      <c r="E13" s="13">
        <v>2651.0</v>
      </c>
      <c r="F13" s="13">
        <v>2810.0</v>
      </c>
      <c r="G13" s="13">
        <v>6245.0</v>
      </c>
      <c r="H13" s="13">
        <v>1016.0</v>
      </c>
      <c r="I13" s="13">
        <v>1089.0</v>
      </c>
      <c r="J13" s="13">
        <v>2959.0</v>
      </c>
      <c r="K13" s="14">
        <v>1256.0</v>
      </c>
      <c r="L13" s="14">
        <v>8267.0</v>
      </c>
      <c r="M13" s="14">
        <v>6319.0</v>
      </c>
      <c r="N13" s="14">
        <v>17483.0</v>
      </c>
      <c r="O13" s="14">
        <v>4255.0</v>
      </c>
      <c r="P13" s="15">
        <v>2718.0</v>
      </c>
      <c r="Q13" s="19">
        <v>0.0</v>
      </c>
    </row>
    <row r="14" ht="12.0" customHeight="1">
      <c r="A14" s="4"/>
      <c r="B14" s="12" t="s">
        <v>18</v>
      </c>
      <c r="C14" s="17">
        <v>0.0</v>
      </c>
      <c r="D14" s="17">
        <v>0.0</v>
      </c>
      <c r="E14" s="17">
        <v>0.0</v>
      </c>
      <c r="F14" s="17">
        <v>0.0</v>
      </c>
      <c r="G14" s="17">
        <v>0.0</v>
      </c>
      <c r="H14" s="17">
        <v>0.0</v>
      </c>
      <c r="I14" s="13">
        <v>13028.0</v>
      </c>
      <c r="J14" s="17">
        <v>0.0</v>
      </c>
      <c r="K14" s="17">
        <v>0.0</v>
      </c>
      <c r="L14" s="17">
        <f>29090*0</f>
        <v>0</v>
      </c>
      <c r="M14" s="17">
        <f>26525*0</f>
        <v>0</v>
      </c>
      <c r="N14" s="18">
        <v>0.0</v>
      </c>
      <c r="O14" s="18">
        <v>0.0</v>
      </c>
      <c r="P14" s="19">
        <v>0.0</v>
      </c>
      <c r="Q14" s="19">
        <v>0.0</v>
      </c>
    </row>
    <row r="15" ht="12.0" customHeight="1">
      <c r="A15" s="4"/>
      <c r="B15" s="12" t="s">
        <v>19</v>
      </c>
      <c r="C15" s="13">
        <v>2983.0</v>
      </c>
      <c r="D15" s="13">
        <v>8837.0</v>
      </c>
      <c r="E15" s="13">
        <v>2842.0</v>
      </c>
      <c r="F15" s="13">
        <v>896.0</v>
      </c>
      <c r="G15" s="13">
        <v>5230.0</v>
      </c>
      <c r="H15" s="13">
        <v>7736.0</v>
      </c>
      <c r="I15" s="13">
        <v>11775.0</v>
      </c>
      <c r="J15" s="13">
        <v>11194.0</v>
      </c>
      <c r="K15" s="14">
        <v>9240.0</v>
      </c>
      <c r="L15" s="14">
        <v>15024.0</v>
      </c>
      <c r="M15" s="14">
        <v>11017.0</v>
      </c>
      <c r="N15" s="14">
        <v>9620.0</v>
      </c>
      <c r="O15" s="14">
        <v>7135.0</v>
      </c>
      <c r="P15" s="15">
        <v>6843.0</v>
      </c>
      <c r="Q15" s="15">
        <v>4349.0</v>
      </c>
    </row>
    <row r="16" ht="12.0" customHeight="1">
      <c r="A16" s="4"/>
      <c r="B16" s="16" t="s">
        <v>20</v>
      </c>
      <c r="C16" s="17">
        <v>0.0</v>
      </c>
      <c r="D16" s="17">
        <v>0.0</v>
      </c>
      <c r="E16" s="17">
        <v>0.0</v>
      </c>
      <c r="F16" s="17">
        <v>0.0</v>
      </c>
      <c r="G16" s="17">
        <v>0.0</v>
      </c>
      <c r="H16" s="17">
        <v>0.0</v>
      </c>
      <c r="I16" s="17">
        <v>0.0</v>
      </c>
      <c r="J16" s="17">
        <v>0.0</v>
      </c>
      <c r="K16" s="17">
        <v>0.0</v>
      </c>
      <c r="L16" s="17">
        <v>0.0</v>
      </c>
      <c r="M16" s="17">
        <v>0.0</v>
      </c>
      <c r="N16" s="18">
        <v>0.0</v>
      </c>
      <c r="O16" s="18">
        <v>0.0</v>
      </c>
      <c r="P16" s="15">
        <v>23329.0</v>
      </c>
      <c r="Q16" s="15">
        <v>24489.0</v>
      </c>
    </row>
    <row r="17" ht="12.0" customHeight="1">
      <c r="A17" s="4"/>
      <c r="B17" s="12" t="s">
        <v>21</v>
      </c>
      <c r="C17" s="13">
        <v>5674.0</v>
      </c>
      <c r="D17" s="13">
        <v>12874.0</v>
      </c>
      <c r="E17" s="13">
        <v>27696.0</v>
      </c>
      <c r="F17" s="13">
        <v>29994.0</v>
      </c>
      <c r="G17" s="13">
        <v>36234.0</v>
      </c>
      <c r="H17" s="13">
        <v>46187.0</v>
      </c>
      <c r="I17" s="13">
        <v>33173.0</v>
      </c>
      <c r="J17" s="13">
        <v>38269.0</v>
      </c>
      <c r="K17" s="14">
        <v>31856.0</v>
      </c>
      <c r="L17" s="14">
        <v>30315.0</v>
      </c>
      <c r="M17" s="14">
        <v>38259.0</v>
      </c>
      <c r="N17" s="14">
        <v>27072.0</v>
      </c>
      <c r="O17" s="14">
        <v>28991.0</v>
      </c>
      <c r="P17" s="15">
        <v>35112.0</v>
      </c>
      <c r="Q17" s="15">
        <v>31162.0</v>
      </c>
    </row>
    <row r="18" ht="7.5" customHeight="1">
      <c r="A18" s="4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ht="12.0" customHeight="1">
      <c r="A19" s="4"/>
      <c r="B19" s="8" t="s">
        <v>22</v>
      </c>
      <c r="C19" s="22">
        <f t="shared" ref="C19:Q19" si="1">SUM(C8:C17)</f>
        <v>255240</v>
      </c>
      <c r="D19" s="22">
        <f t="shared" si="1"/>
        <v>434552</v>
      </c>
      <c r="E19" s="22">
        <f t="shared" si="1"/>
        <v>620542</v>
      </c>
      <c r="F19" s="22">
        <f t="shared" si="1"/>
        <v>1450905</v>
      </c>
      <c r="G19" s="22">
        <f t="shared" si="1"/>
        <v>1119026</v>
      </c>
      <c r="H19" s="22">
        <f t="shared" si="1"/>
        <v>1078052</v>
      </c>
      <c r="I19" s="22">
        <f t="shared" si="1"/>
        <v>1091397</v>
      </c>
      <c r="J19" s="22">
        <f t="shared" si="1"/>
        <v>1071291</v>
      </c>
      <c r="K19" s="22">
        <f t="shared" si="1"/>
        <v>1092433</v>
      </c>
      <c r="L19" s="22">
        <f t="shared" si="1"/>
        <v>960233</v>
      </c>
      <c r="M19" s="22">
        <f t="shared" si="1"/>
        <v>985275</v>
      </c>
      <c r="N19" s="22">
        <f t="shared" si="1"/>
        <v>912136</v>
      </c>
      <c r="O19" s="22">
        <f t="shared" si="1"/>
        <v>1002091</v>
      </c>
      <c r="P19" s="22">
        <f t="shared" si="1"/>
        <v>1081795</v>
      </c>
      <c r="Q19" s="22">
        <f t="shared" si="1"/>
        <v>1183062</v>
      </c>
    </row>
    <row r="20" ht="9.0" customHeight="1">
      <c r="A20" s="4"/>
      <c r="B20" s="10"/>
      <c r="C20" s="23"/>
      <c r="D20" s="23"/>
      <c r="E20" s="23"/>
      <c r="F20" s="23"/>
      <c r="G20" s="23"/>
      <c r="H20" s="23"/>
      <c r="I20" s="23"/>
      <c r="J20" s="23"/>
      <c r="K20" s="4"/>
      <c r="L20" s="4"/>
      <c r="M20" s="4"/>
      <c r="N20" s="4"/>
      <c r="O20" s="4"/>
      <c r="P20" s="4"/>
      <c r="Q20" s="4"/>
    </row>
    <row r="21" ht="12.0" customHeight="1">
      <c r="A21" s="4"/>
      <c r="B21" s="12" t="s">
        <v>16</v>
      </c>
      <c r="C21" s="13">
        <v>3099.0</v>
      </c>
      <c r="D21" s="13">
        <v>3099.0</v>
      </c>
      <c r="E21" s="13">
        <v>3086.0</v>
      </c>
      <c r="F21" s="13">
        <v>3046.0</v>
      </c>
      <c r="G21" s="13">
        <v>3587.0</v>
      </c>
      <c r="H21" s="13">
        <v>3587.0</v>
      </c>
      <c r="I21" s="13">
        <v>3591.0</v>
      </c>
      <c r="J21" s="13">
        <v>3624.0</v>
      </c>
      <c r="K21" s="14">
        <v>3644.0</v>
      </c>
      <c r="L21" s="14">
        <v>3676.0</v>
      </c>
      <c r="M21" s="14">
        <v>3703.0</v>
      </c>
      <c r="N21" s="14">
        <v>959.0</v>
      </c>
      <c r="O21" s="14">
        <v>742.0</v>
      </c>
      <c r="P21" s="15">
        <v>711.0</v>
      </c>
      <c r="Q21" s="15">
        <v>440.0</v>
      </c>
    </row>
    <row r="22" ht="12.0" customHeight="1">
      <c r="A22" s="4"/>
      <c r="B22" s="12" t="s">
        <v>23</v>
      </c>
      <c r="C22" s="13">
        <v>24977.0</v>
      </c>
      <c r="D22" s="13">
        <v>15152.0</v>
      </c>
      <c r="E22" s="13">
        <v>25985.0</v>
      </c>
      <c r="F22" s="13">
        <v>31989.0</v>
      </c>
      <c r="G22" s="13">
        <v>27110.0</v>
      </c>
      <c r="H22" s="13">
        <v>22954.0</v>
      </c>
      <c r="I22" s="13">
        <v>34285.0</v>
      </c>
      <c r="J22" s="13">
        <v>15571.0</v>
      </c>
      <c r="K22" s="14">
        <f>37848-21265</f>
        <v>16583</v>
      </c>
      <c r="L22" s="14">
        <f>28187-12770</f>
        <v>15417</v>
      </c>
      <c r="M22" s="14">
        <f>29633-13747</f>
        <v>15886</v>
      </c>
      <c r="N22" s="14">
        <v>18284.0</v>
      </c>
      <c r="O22" s="14">
        <v>19407.0</v>
      </c>
      <c r="P22" s="15">
        <v>25620.0</v>
      </c>
      <c r="Q22" s="15">
        <v>21284.0</v>
      </c>
    </row>
    <row r="23" ht="12.0" customHeight="1">
      <c r="A23" s="4"/>
      <c r="B23" s="12" t="s">
        <v>24</v>
      </c>
      <c r="C23" s="13">
        <v>3083.0</v>
      </c>
      <c r="D23" s="13">
        <v>3083.0</v>
      </c>
      <c r="E23" s="13">
        <v>3075.0</v>
      </c>
      <c r="F23" s="13">
        <v>3079.0</v>
      </c>
      <c r="G23" s="13">
        <v>6101.0</v>
      </c>
      <c r="H23" s="13">
        <v>9337.0</v>
      </c>
      <c r="I23" s="13">
        <v>9468.0</v>
      </c>
      <c r="J23" s="13">
        <v>9819.0</v>
      </c>
      <c r="K23" s="14">
        <v>9710.0</v>
      </c>
      <c r="L23" s="14">
        <v>9995.0</v>
      </c>
      <c r="M23" s="14">
        <v>9995.0</v>
      </c>
      <c r="N23" s="14">
        <v>7280.0</v>
      </c>
      <c r="O23" s="14">
        <v>7471.0</v>
      </c>
      <c r="P23" s="15">
        <v>7471.0</v>
      </c>
      <c r="Q23" s="15">
        <v>8069.0</v>
      </c>
    </row>
    <row r="24" ht="12.0" customHeight="1">
      <c r="A24" s="4"/>
      <c r="B24" s="16" t="s">
        <v>20</v>
      </c>
      <c r="C24" s="17">
        <v>0.0</v>
      </c>
      <c r="D24" s="17">
        <v>0.0</v>
      </c>
      <c r="E24" s="17">
        <v>0.0</v>
      </c>
      <c r="F24" s="17">
        <v>0.0</v>
      </c>
      <c r="G24" s="13">
        <v>19938.0</v>
      </c>
      <c r="H24" s="13">
        <v>33975.0</v>
      </c>
      <c r="I24" s="13">
        <v>32877.0</v>
      </c>
      <c r="J24" s="13">
        <v>31552.0</v>
      </c>
      <c r="K24" s="14">
        <v>30459.0</v>
      </c>
      <c r="L24" s="14">
        <v>30842.0</v>
      </c>
      <c r="M24" s="14">
        <v>31013.0</v>
      </c>
      <c r="N24" s="14">
        <v>29061.0</v>
      </c>
      <c r="O24" s="14">
        <v>29779.0</v>
      </c>
      <c r="P24" s="15">
        <v>9040.0</v>
      </c>
      <c r="Q24" s="15">
        <v>9040.0</v>
      </c>
    </row>
    <row r="25" ht="12.0" customHeight="1">
      <c r="A25" s="4"/>
      <c r="B25" s="12" t="s">
        <v>21</v>
      </c>
      <c r="C25" s="13">
        <v>677.0</v>
      </c>
      <c r="D25" s="13">
        <v>2494.0</v>
      </c>
      <c r="E25" s="13">
        <v>2303.0</v>
      </c>
      <c r="F25" s="13">
        <v>2974.0</v>
      </c>
      <c r="G25" s="13">
        <v>2509.0</v>
      </c>
      <c r="H25" s="13">
        <v>3950.0</v>
      </c>
      <c r="I25" s="13">
        <v>3925.0</v>
      </c>
      <c r="J25" s="13">
        <v>3654.0</v>
      </c>
      <c r="K25" s="14">
        <v>3637.0</v>
      </c>
      <c r="L25" s="14">
        <v>1844.0</v>
      </c>
      <c r="M25" s="14">
        <v>2202.0</v>
      </c>
      <c r="N25" s="14">
        <v>1027.0</v>
      </c>
      <c r="O25" s="14">
        <v>1168.0</v>
      </c>
      <c r="P25" s="15">
        <v>1087.0</v>
      </c>
      <c r="Q25" s="15">
        <v>6412.0</v>
      </c>
    </row>
    <row r="26" ht="12.0" customHeight="1">
      <c r="A26" s="4"/>
      <c r="B26" s="12" t="s">
        <v>25</v>
      </c>
      <c r="C26" s="13">
        <v>27928.0</v>
      </c>
      <c r="D26" s="13">
        <v>38771.0</v>
      </c>
      <c r="E26" s="13">
        <v>55720.0</v>
      </c>
      <c r="F26" s="13">
        <v>57721.0</v>
      </c>
      <c r="G26" s="13">
        <v>59381.0</v>
      </c>
      <c r="H26" s="13">
        <v>60962.0</v>
      </c>
      <c r="I26" s="13">
        <v>60376.0</v>
      </c>
      <c r="J26" s="13">
        <v>55266.0</v>
      </c>
      <c r="K26" s="14">
        <v>52032.0</v>
      </c>
      <c r="L26" s="14">
        <v>46373.0</v>
      </c>
      <c r="M26" s="14">
        <v>41674.0</v>
      </c>
      <c r="N26" s="14">
        <v>38584.0</v>
      </c>
      <c r="O26" s="14">
        <v>34926.0</v>
      </c>
      <c r="P26" s="15">
        <v>35855.0</v>
      </c>
      <c r="Q26" s="15">
        <v>35460.0</v>
      </c>
    </row>
    <row r="27" ht="12.0" customHeight="1">
      <c r="A27" s="4"/>
      <c r="B27" s="12" t="s">
        <v>26</v>
      </c>
      <c r="C27" s="13">
        <v>18545.0</v>
      </c>
      <c r="D27" s="13">
        <v>18166.0</v>
      </c>
      <c r="E27" s="13">
        <v>745766.0</v>
      </c>
      <c r="F27" s="13">
        <v>738803.0</v>
      </c>
      <c r="G27" s="13">
        <v>1050008.0</v>
      </c>
      <c r="H27" s="13">
        <v>1078187.0</v>
      </c>
      <c r="I27" s="13">
        <v>1123626.0</v>
      </c>
      <c r="J27" s="13">
        <v>1755994.0</v>
      </c>
      <c r="K27" s="14">
        <f>1719226+5096</f>
        <v>1724322</v>
      </c>
      <c r="L27" s="14">
        <v>1673996.0</v>
      </c>
      <c r="M27" s="14">
        <v>1690801.0</v>
      </c>
      <c r="N27" s="14">
        <v>1669865.0</v>
      </c>
      <c r="O27" s="14">
        <v>1691283.0</v>
      </c>
      <c r="P27" s="15">
        <v>1792657.0</v>
      </c>
      <c r="Q27" s="15">
        <v>1787220.0</v>
      </c>
    </row>
    <row r="28" ht="12.0" customHeight="1">
      <c r="A28" s="4"/>
      <c r="B28" s="24" t="s">
        <v>27</v>
      </c>
      <c r="C28" s="25">
        <v>73898.0</v>
      </c>
      <c r="D28" s="25">
        <v>69765.0</v>
      </c>
      <c r="E28" s="25">
        <v>75138.0</v>
      </c>
      <c r="F28" s="25">
        <v>73827.0</v>
      </c>
      <c r="G28" s="13">
        <v>74204.0</v>
      </c>
      <c r="H28" s="13">
        <v>73998.0</v>
      </c>
      <c r="I28" s="13">
        <v>70366.0</v>
      </c>
      <c r="J28" s="13">
        <v>56187.0</v>
      </c>
      <c r="K28" s="13">
        <v>50402.0</v>
      </c>
      <c r="L28" s="13">
        <v>46816.0</v>
      </c>
      <c r="M28" s="13">
        <v>43236.0</v>
      </c>
      <c r="N28" s="13">
        <v>39695.0</v>
      </c>
      <c r="O28" s="13">
        <v>35936.0</v>
      </c>
      <c r="P28" s="26">
        <v>51911.0</v>
      </c>
      <c r="Q28" s="26">
        <v>48948.0</v>
      </c>
    </row>
    <row r="29" ht="12.0" customHeight="1">
      <c r="A29" s="4"/>
      <c r="B29" s="8" t="s">
        <v>28</v>
      </c>
      <c r="C29" s="27">
        <f t="shared" ref="C29:Q29" si="2">SUM(C21:C28)</f>
        <v>152207</v>
      </c>
      <c r="D29" s="27">
        <f t="shared" si="2"/>
        <v>150530</v>
      </c>
      <c r="E29" s="27">
        <f t="shared" si="2"/>
        <v>911073</v>
      </c>
      <c r="F29" s="27">
        <f t="shared" si="2"/>
        <v>911439</v>
      </c>
      <c r="G29" s="27">
        <f t="shared" si="2"/>
        <v>1242838</v>
      </c>
      <c r="H29" s="27">
        <f t="shared" si="2"/>
        <v>1286950</v>
      </c>
      <c r="I29" s="27">
        <f t="shared" si="2"/>
        <v>1338514</v>
      </c>
      <c r="J29" s="27">
        <f t="shared" si="2"/>
        <v>1931667</v>
      </c>
      <c r="K29" s="27">
        <f t="shared" si="2"/>
        <v>1890789</v>
      </c>
      <c r="L29" s="27">
        <f t="shared" si="2"/>
        <v>1828959</v>
      </c>
      <c r="M29" s="27">
        <f t="shared" si="2"/>
        <v>1838510</v>
      </c>
      <c r="N29" s="28">
        <f t="shared" si="2"/>
        <v>1804755</v>
      </c>
      <c r="O29" s="28">
        <f t="shared" si="2"/>
        <v>1820712</v>
      </c>
      <c r="P29" s="28">
        <f t="shared" si="2"/>
        <v>1924352</v>
      </c>
      <c r="Q29" s="28">
        <f t="shared" si="2"/>
        <v>1916873</v>
      </c>
    </row>
    <row r="30" ht="12.0" customHeight="1">
      <c r="A30" s="4"/>
      <c r="B30" s="29" t="s">
        <v>29</v>
      </c>
      <c r="C30" s="30">
        <f t="shared" ref="C30:Q30" si="3">C19+C29</f>
        <v>407447</v>
      </c>
      <c r="D30" s="30">
        <f t="shared" si="3"/>
        <v>585082</v>
      </c>
      <c r="E30" s="30">
        <f t="shared" si="3"/>
        <v>1531615</v>
      </c>
      <c r="F30" s="30">
        <f t="shared" si="3"/>
        <v>2362344</v>
      </c>
      <c r="G30" s="30">
        <f t="shared" si="3"/>
        <v>2361864</v>
      </c>
      <c r="H30" s="30">
        <f t="shared" si="3"/>
        <v>2365002</v>
      </c>
      <c r="I30" s="30">
        <f t="shared" si="3"/>
        <v>2429911</v>
      </c>
      <c r="J30" s="30">
        <f t="shared" si="3"/>
        <v>3002958</v>
      </c>
      <c r="K30" s="30">
        <f t="shared" si="3"/>
        <v>2983222</v>
      </c>
      <c r="L30" s="30">
        <f t="shared" si="3"/>
        <v>2789192</v>
      </c>
      <c r="M30" s="30">
        <f t="shared" si="3"/>
        <v>2823785</v>
      </c>
      <c r="N30" s="30">
        <f t="shared" si="3"/>
        <v>2716891</v>
      </c>
      <c r="O30" s="30">
        <f t="shared" si="3"/>
        <v>2822803</v>
      </c>
      <c r="P30" s="30">
        <f t="shared" si="3"/>
        <v>3006147</v>
      </c>
      <c r="Q30" s="30">
        <f t="shared" si="3"/>
        <v>3099935</v>
      </c>
    </row>
    <row r="31" ht="12.0" customHeight="1">
      <c r="A31" s="4"/>
      <c r="B31" s="31"/>
      <c r="C31" s="32"/>
      <c r="D31" s="32"/>
      <c r="E31" s="32"/>
      <c r="F31" s="32"/>
      <c r="G31" s="32"/>
      <c r="H31" s="32"/>
      <c r="I31" s="32"/>
      <c r="J31" s="32"/>
      <c r="K31" s="4"/>
      <c r="L31" s="4"/>
      <c r="M31" s="4"/>
      <c r="N31" s="4"/>
      <c r="O31" s="4"/>
      <c r="P31" s="4"/>
      <c r="Q31" s="4"/>
    </row>
    <row r="32" ht="12.0" customHeight="1">
      <c r="A32" s="4"/>
      <c r="B32" s="3" t="s">
        <v>30</v>
      </c>
      <c r="C32" s="33"/>
      <c r="D32" s="33"/>
      <c r="E32" s="33"/>
      <c r="F32" s="33"/>
      <c r="G32" s="33"/>
      <c r="H32" s="33"/>
      <c r="I32" s="33"/>
      <c r="J32" s="33"/>
      <c r="K32" s="4"/>
      <c r="L32" s="4"/>
      <c r="M32" s="4"/>
      <c r="N32" s="4"/>
      <c r="O32" s="4"/>
      <c r="P32" s="4"/>
      <c r="Q32" s="4"/>
    </row>
    <row r="33" ht="12.0" customHeight="1">
      <c r="A33" s="4"/>
      <c r="B33" s="12" t="s">
        <v>31</v>
      </c>
      <c r="C33" s="13">
        <v>8631.0</v>
      </c>
      <c r="D33" s="13">
        <v>15312.0</v>
      </c>
      <c r="E33" s="13">
        <v>25053.0</v>
      </c>
      <c r="F33" s="13">
        <v>33566.0</v>
      </c>
      <c r="G33" s="13">
        <v>23672.0</v>
      </c>
      <c r="H33" s="13">
        <v>24655.0</v>
      </c>
      <c r="I33" s="13">
        <v>26512.0</v>
      </c>
      <c r="J33" s="13">
        <v>33376.0</v>
      </c>
      <c r="K33" s="14">
        <v>21542.0</v>
      </c>
      <c r="L33" s="14">
        <v>19244.0</v>
      </c>
      <c r="M33" s="14">
        <v>16958.0</v>
      </c>
      <c r="N33" s="14">
        <v>21690.0</v>
      </c>
      <c r="O33" s="14">
        <v>20196.0</v>
      </c>
      <c r="P33" s="15">
        <v>19057.0</v>
      </c>
      <c r="Q33" s="15">
        <v>18154.0</v>
      </c>
    </row>
    <row r="34" ht="12.0" customHeight="1">
      <c r="A34" s="4"/>
      <c r="B34" s="12" t="s">
        <v>32</v>
      </c>
      <c r="C34" s="13">
        <v>23166.0</v>
      </c>
      <c r="D34" s="13">
        <v>75377.0</v>
      </c>
      <c r="E34" s="13">
        <v>138694.0</v>
      </c>
      <c r="F34" s="13">
        <v>164403.0</v>
      </c>
      <c r="G34" s="13">
        <v>168547.0</v>
      </c>
      <c r="H34" s="13">
        <v>183465.0</v>
      </c>
      <c r="I34" s="13">
        <v>252629.0</v>
      </c>
      <c r="J34" s="13">
        <v>236030.0</v>
      </c>
      <c r="K34" s="14">
        <f>233583+1645</f>
        <v>235228</v>
      </c>
      <c r="L34" s="14">
        <f>200285+366</f>
        <v>200651</v>
      </c>
      <c r="M34" s="14">
        <f>224579+3745</f>
        <v>228324</v>
      </c>
      <c r="N34" s="14">
        <v>112719.0</v>
      </c>
      <c r="O34" s="14">
        <v>133680.0</v>
      </c>
      <c r="P34" s="15">
        <v>162783.0</v>
      </c>
      <c r="Q34" s="15">
        <v>250360.0</v>
      </c>
    </row>
    <row r="35" ht="12.0" customHeight="1">
      <c r="A35" s="4"/>
      <c r="B35" s="12" t="s">
        <v>33</v>
      </c>
      <c r="C35" s="13">
        <v>14021.0</v>
      </c>
      <c r="D35" s="13">
        <v>14569.0</v>
      </c>
      <c r="E35" s="13">
        <v>20952.0</v>
      </c>
      <c r="F35" s="13">
        <v>21214.0</v>
      </c>
      <c r="G35" s="13">
        <v>25998.0</v>
      </c>
      <c r="H35" s="13">
        <v>27548.0</v>
      </c>
      <c r="I35" s="13">
        <v>29199.0</v>
      </c>
      <c r="J35" s="13">
        <v>21539.0</v>
      </c>
      <c r="K35" s="14">
        <v>19922.0</v>
      </c>
      <c r="L35" s="14">
        <v>19945.0</v>
      </c>
      <c r="M35" s="14">
        <v>18921.0</v>
      </c>
      <c r="N35" s="14">
        <v>17862.0</v>
      </c>
      <c r="O35" s="14">
        <v>15708.0</v>
      </c>
      <c r="P35" s="15">
        <v>19445.0</v>
      </c>
      <c r="Q35" s="15">
        <v>21270.0</v>
      </c>
    </row>
    <row r="36" ht="12.0" customHeight="1">
      <c r="A36" s="4"/>
      <c r="B36" s="12" t="s">
        <v>34</v>
      </c>
      <c r="C36" s="13">
        <v>87908.0</v>
      </c>
      <c r="D36" s="13">
        <v>141794.0</v>
      </c>
      <c r="E36" s="13">
        <v>214063.0</v>
      </c>
      <c r="F36" s="13">
        <v>234173.0</v>
      </c>
      <c r="G36" s="13">
        <v>253299.0</v>
      </c>
      <c r="H36" s="13">
        <v>214367.0</v>
      </c>
      <c r="I36" s="13">
        <v>256028.0</v>
      </c>
      <c r="J36" s="13">
        <v>260156.0</v>
      </c>
      <c r="K36" s="14">
        <v>251801.0</v>
      </c>
      <c r="L36" s="14">
        <v>198639.0</v>
      </c>
      <c r="M36" s="14">
        <v>216606.0</v>
      </c>
      <c r="N36" s="14">
        <v>196396.0</v>
      </c>
      <c r="O36" s="14">
        <v>210748.0</v>
      </c>
      <c r="P36" s="15">
        <v>206518.0</v>
      </c>
      <c r="Q36" s="15">
        <v>254427.0</v>
      </c>
    </row>
    <row r="37" ht="12.0" customHeight="1">
      <c r="A37" s="4"/>
      <c r="B37" s="12" t="s">
        <v>35</v>
      </c>
      <c r="C37" s="17">
        <v>0.0</v>
      </c>
      <c r="D37" s="17">
        <v>0.0</v>
      </c>
      <c r="E37" s="13">
        <v>97701.0</v>
      </c>
      <c r="F37" s="13">
        <v>48923.0</v>
      </c>
      <c r="G37" s="13">
        <v>109555.0</v>
      </c>
      <c r="H37" s="13">
        <v>113559.0</v>
      </c>
      <c r="I37" s="13">
        <v>63947.0</v>
      </c>
      <c r="J37" s="13">
        <v>76746.0</v>
      </c>
      <c r="K37" s="14">
        <f>72005+5096</f>
        <v>77101</v>
      </c>
      <c r="L37" s="14">
        <v>40583.0</v>
      </c>
      <c r="M37" s="14">
        <v>41301.0</v>
      </c>
      <c r="N37" s="14">
        <v>13365.0</v>
      </c>
      <c r="O37" s="14">
        <v>110180.0</v>
      </c>
      <c r="P37" s="15">
        <v>122645.0</v>
      </c>
      <c r="Q37" s="15">
        <v>125505.0</v>
      </c>
    </row>
    <row r="38" ht="12.0" customHeight="1">
      <c r="A38" s="4"/>
      <c r="B38" s="12" t="s">
        <v>36</v>
      </c>
      <c r="C38" s="17">
        <v>0.0</v>
      </c>
      <c r="D38" s="17">
        <v>0.0</v>
      </c>
      <c r="E38" s="17">
        <v>0.0</v>
      </c>
      <c r="F38" s="17">
        <v>0.0</v>
      </c>
      <c r="G38" s="17">
        <v>0.0</v>
      </c>
      <c r="H38" s="13">
        <v>49330.0</v>
      </c>
      <c r="I38" s="13">
        <v>50315.0</v>
      </c>
      <c r="J38" s="17">
        <v>0.0</v>
      </c>
      <c r="K38" s="17">
        <f>40052*0</f>
        <v>0</v>
      </c>
      <c r="L38" s="17">
        <f>31288*0</f>
        <v>0</v>
      </c>
      <c r="M38" s="17">
        <f>34721*0</f>
        <v>0</v>
      </c>
      <c r="N38" s="18">
        <v>0.0</v>
      </c>
      <c r="O38" s="18">
        <v>0.0</v>
      </c>
      <c r="P38" s="18">
        <v>0.0</v>
      </c>
      <c r="Q38" s="19">
        <v>0.0</v>
      </c>
    </row>
    <row r="39" ht="12.0" customHeight="1">
      <c r="A39" s="4"/>
      <c r="B39" s="12" t="s">
        <v>19</v>
      </c>
      <c r="C39" s="13">
        <v>2050.0</v>
      </c>
      <c r="D39" s="13">
        <v>5392.0</v>
      </c>
      <c r="E39" s="13">
        <v>3295.0</v>
      </c>
      <c r="F39" s="13">
        <v>535.0</v>
      </c>
      <c r="G39" s="13">
        <v>35724.0</v>
      </c>
      <c r="H39" s="13">
        <v>7033.0</v>
      </c>
      <c r="I39" s="13">
        <v>6095.0</v>
      </c>
      <c r="J39" s="13">
        <v>4109.0</v>
      </c>
      <c r="K39" s="4">
        <v>450.0</v>
      </c>
      <c r="L39" s="17">
        <v>0.0</v>
      </c>
      <c r="M39" s="17">
        <v>0.0</v>
      </c>
      <c r="N39" s="18">
        <v>0.0</v>
      </c>
      <c r="O39" s="18">
        <v>0.0</v>
      </c>
      <c r="P39" s="19">
        <v>8290.0</v>
      </c>
      <c r="Q39" s="19">
        <v>7184.0</v>
      </c>
    </row>
    <row r="40" ht="12.0" customHeight="1">
      <c r="A40" s="4"/>
      <c r="B40" s="12" t="s">
        <v>37</v>
      </c>
      <c r="C40" s="13">
        <v>6661.0</v>
      </c>
      <c r="D40" s="13">
        <v>6078.0</v>
      </c>
      <c r="E40" s="13">
        <v>13671.0</v>
      </c>
      <c r="F40" s="13">
        <v>13345.0</v>
      </c>
      <c r="G40" s="13">
        <v>361.0</v>
      </c>
      <c r="H40" s="13">
        <v>8482.0</v>
      </c>
      <c r="I40" s="13">
        <v>3379.0</v>
      </c>
      <c r="J40" s="13">
        <v>3890.0</v>
      </c>
      <c r="K40" s="14">
        <v>8246.0</v>
      </c>
      <c r="L40" s="14">
        <v>6630.0</v>
      </c>
      <c r="M40" s="14">
        <v>6796.0</v>
      </c>
      <c r="N40" s="14">
        <v>2602.0</v>
      </c>
      <c r="O40" s="18">
        <v>1744.0</v>
      </c>
      <c r="P40" s="19">
        <v>1487.0</v>
      </c>
      <c r="Q40" s="19">
        <v>9008.0</v>
      </c>
    </row>
    <row r="41" ht="12.0" customHeight="1">
      <c r="A41" s="4"/>
      <c r="B41" s="12" t="s">
        <v>38</v>
      </c>
      <c r="C41" s="13">
        <v>1955.0</v>
      </c>
      <c r="D41" s="13">
        <v>3279.0</v>
      </c>
      <c r="E41" s="13">
        <v>5874.0</v>
      </c>
      <c r="F41" s="13">
        <v>5423.0</v>
      </c>
      <c r="G41" s="13">
        <v>8170.0</v>
      </c>
      <c r="H41" s="13">
        <v>11610.0</v>
      </c>
      <c r="I41" s="13">
        <v>14173.0</v>
      </c>
      <c r="J41" s="13">
        <v>14382.0</v>
      </c>
      <c r="K41" s="14">
        <v>13040.0</v>
      </c>
      <c r="L41" s="14">
        <v>15503.0</v>
      </c>
      <c r="M41" s="14">
        <v>14880.0</v>
      </c>
      <c r="N41" s="14">
        <v>15275.0</v>
      </c>
      <c r="O41" s="14">
        <v>14294.0</v>
      </c>
      <c r="P41" s="15">
        <v>16522.0</v>
      </c>
      <c r="Q41" s="15">
        <v>15951.0</v>
      </c>
    </row>
    <row r="42" ht="12.0" customHeight="1">
      <c r="A42" s="4"/>
      <c r="B42" s="12" t="s">
        <v>39</v>
      </c>
      <c r="C42" s="13">
        <v>14714.0</v>
      </c>
      <c r="D42" s="13">
        <v>30677.0</v>
      </c>
      <c r="E42" s="13">
        <v>4044.0</v>
      </c>
      <c r="F42" s="17">
        <v>0.0</v>
      </c>
      <c r="G42" s="17">
        <v>0.0</v>
      </c>
      <c r="H42" s="17">
        <v>0.0</v>
      </c>
      <c r="I42" s="17">
        <v>0.0</v>
      </c>
      <c r="J42" s="17">
        <v>0.0</v>
      </c>
      <c r="K42" s="17">
        <v>0.0</v>
      </c>
      <c r="L42" s="17">
        <v>0.0</v>
      </c>
      <c r="M42" s="17">
        <v>0.0</v>
      </c>
      <c r="N42" s="18">
        <v>0.0</v>
      </c>
      <c r="O42" s="18">
        <v>0.0</v>
      </c>
      <c r="P42" s="18">
        <v>0.0</v>
      </c>
      <c r="Q42" s="19">
        <v>0.0</v>
      </c>
    </row>
    <row r="43" ht="12.0" customHeight="1">
      <c r="A43" s="4"/>
      <c r="B43" s="12" t="s">
        <v>40</v>
      </c>
      <c r="C43" s="13">
        <v>16162.0</v>
      </c>
      <c r="D43" s="13">
        <v>9987.0</v>
      </c>
      <c r="E43" s="13">
        <v>3014.0</v>
      </c>
      <c r="F43" s="13">
        <v>13722.0</v>
      </c>
      <c r="G43" s="13">
        <v>11143.0</v>
      </c>
      <c r="H43" s="13">
        <v>11771.0</v>
      </c>
      <c r="I43" s="13">
        <v>11760.0</v>
      </c>
      <c r="J43" s="13">
        <v>32136.0</v>
      </c>
      <c r="K43" s="14">
        <v>20491.0</v>
      </c>
      <c r="L43" s="14">
        <v>12981.0</v>
      </c>
      <c r="M43" s="14">
        <v>12954.0</v>
      </c>
      <c r="N43" s="14">
        <v>48079.0</v>
      </c>
      <c r="O43" s="18">
        <v>29632.0</v>
      </c>
      <c r="P43" s="19">
        <v>25459.0</v>
      </c>
      <c r="Q43" s="19">
        <v>29186.0</v>
      </c>
    </row>
    <row r="44" ht="12.0" customHeight="1">
      <c r="A44" s="4"/>
      <c r="B44" s="12" t="s">
        <v>41</v>
      </c>
      <c r="C44" s="13">
        <v>44000.0</v>
      </c>
      <c r="D44" s="13">
        <v>628.0</v>
      </c>
      <c r="E44" s="17">
        <v>0.0</v>
      </c>
      <c r="F44" s="17">
        <v>0.0</v>
      </c>
      <c r="G44" s="17">
        <v>0.0</v>
      </c>
      <c r="H44" s="17">
        <v>0.0</v>
      </c>
      <c r="I44" s="17">
        <v>0.0</v>
      </c>
      <c r="J44" s="17">
        <v>0.0</v>
      </c>
      <c r="K44" s="17">
        <v>0.0</v>
      </c>
      <c r="L44" s="17">
        <v>0.0</v>
      </c>
      <c r="M44" s="17">
        <v>0.0</v>
      </c>
      <c r="N44" s="18">
        <v>0.0</v>
      </c>
      <c r="O44" s="18">
        <v>0.0</v>
      </c>
      <c r="P44" s="18">
        <v>0.0</v>
      </c>
      <c r="Q44" s="19">
        <v>0.0</v>
      </c>
    </row>
    <row r="45" ht="12.0" customHeight="1">
      <c r="A45" s="4"/>
      <c r="B45" s="12" t="s">
        <v>42</v>
      </c>
      <c r="C45" s="13">
        <v>8144.0</v>
      </c>
      <c r="D45" s="13">
        <v>7899.0</v>
      </c>
      <c r="E45" s="13">
        <v>14855.0</v>
      </c>
      <c r="F45" s="13">
        <v>13669.0</v>
      </c>
      <c r="G45" s="13">
        <v>17670.0</v>
      </c>
      <c r="H45" s="13">
        <v>20942.0</v>
      </c>
      <c r="I45" s="13">
        <v>34133.0</v>
      </c>
      <c r="J45" s="13">
        <v>47501.0</v>
      </c>
      <c r="K45" s="14">
        <v>50745.0</v>
      </c>
      <c r="L45" s="14">
        <v>38672.0</v>
      </c>
      <c r="M45" s="14">
        <v>34551.0</v>
      </c>
      <c r="N45" s="14">
        <v>27290.0</v>
      </c>
      <c r="O45" s="14">
        <v>15844.0</v>
      </c>
      <c r="P45" s="15">
        <v>17510.0</v>
      </c>
      <c r="Q45" s="15">
        <v>18725.0</v>
      </c>
    </row>
    <row r="46" ht="12.0" customHeight="1">
      <c r="A46" s="4"/>
      <c r="B46" s="34" t="s">
        <v>43</v>
      </c>
      <c r="C46" s="35">
        <f t="shared" ref="C46:Q46" si="4">SUM(C33:C45)</f>
        <v>227412</v>
      </c>
      <c r="D46" s="35">
        <f t="shared" si="4"/>
        <v>310992</v>
      </c>
      <c r="E46" s="35">
        <f t="shared" si="4"/>
        <v>541216</v>
      </c>
      <c r="F46" s="35">
        <f t="shared" si="4"/>
        <v>548973</v>
      </c>
      <c r="G46" s="35">
        <f t="shared" si="4"/>
        <v>654139</v>
      </c>
      <c r="H46" s="35">
        <f t="shared" si="4"/>
        <v>672762</v>
      </c>
      <c r="I46" s="35">
        <f t="shared" si="4"/>
        <v>748170</v>
      </c>
      <c r="J46" s="35">
        <f t="shared" si="4"/>
        <v>729865</v>
      </c>
      <c r="K46" s="35">
        <f t="shared" si="4"/>
        <v>698566</v>
      </c>
      <c r="L46" s="35">
        <f t="shared" si="4"/>
        <v>552848</v>
      </c>
      <c r="M46" s="35">
        <f t="shared" si="4"/>
        <v>591291</v>
      </c>
      <c r="N46" s="35">
        <f t="shared" si="4"/>
        <v>455278</v>
      </c>
      <c r="O46" s="35">
        <f t="shared" si="4"/>
        <v>552026</v>
      </c>
      <c r="P46" s="35">
        <f t="shared" si="4"/>
        <v>599716</v>
      </c>
      <c r="Q46" s="35">
        <f t="shared" si="4"/>
        <v>749770</v>
      </c>
    </row>
    <row r="47" ht="9.0" customHeight="1">
      <c r="A47" s="4"/>
      <c r="B47" s="10"/>
      <c r="C47" s="36"/>
      <c r="D47" s="36"/>
      <c r="E47" s="36"/>
      <c r="F47" s="36"/>
      <c r="G47" s="36"/>
      <c r="H47" s="36"/>
      <c r="I47" s="36"/>
      <c r="J47" s="36"/>
      <c r="K47" s="4"/>
      <c r="L47" s="4"/>
      <c r="M47" s="4"/>
      <c r="N47" s="4"/>
      <c r="O47" s="4"/>
      <c r="P47" s="4"/>
      <c r="Q47" s="4"/>
    </row>
    <row r="48" ht="12.0" customHeight="1">
      <c r="A48" s="4"/>
      <c r="B48" s="12" t="s">
        <v>32</v>
      </c>
      <c r="C48" s="37">
        <v>4683.0</v>
      </c>
      <c r="D48" s="37">
        <v>13853.0</v>
      </c>
      <c r="E48" s="37">
        <v>643453.0</v>
      </c>
      <c r="F48" s="37">
        <v>624306.0</v>
      </c>
      <c r="G48" s="37">
        <v>579429.0</v>
      </c>
      <c r="H48" s="37">
        <v>489777.0</v>
      </c>
      <c r="I48" s="37">
        <v>453729.0</v>
      </c>
      <c r="J48" s="37">
        <v>753733.0</v>
      </c>
      <c r="K48" s="14">
        <f>714741+7709</f>
        <v>722450</v>
      </c>
      <c r="L48" s="14">
        <f>663069+1832</f>
        <v>664901</v>
      </c>
      <c r="M48" s="14">
        <f>620589+4451</f>
        <v>625040</v>
      </c>
      <c r="N48" s="14">
        <v>614744.0</v>
      </c>
      <c r="O48" s="14">
        <v>660269.0</v>
      </c>
      <c r="P48" s="15">
        <v>666168.0</v>
      </c>
      <c r="Q48" s="15">
        <v>587029.0</v>
      </c>
    </row>
    <row r="49" ht="12.0" customHeight="1">
      <c r="A49" s="4"/>
      <c r="B49" s="12" t="s">
        <v>44</v>
      </c>
      <c r="C49" s="18">
        <v>0.0</v>
      </c>
      <c r="D49" s="18">
        <v>0.0</v>
      </c>
      <c r="E49" s="18">
        <v>0.0</v>
      </c>
      <c r="F49" s="18">
        <v>0.0</v>
      </c>
      <c r="G49" s="18">
        <v>0.0</v>
      </c>
      <c r="H49" s="18">
        <v>0.0</v>
      </c>
      <c r="I49" s="18">
        <v>0.0</v>
      </c>
      <c r="J49" s="18">
        <v>20942.0</v>
      </c>
      <c r="K49" s="14">
        <f>0+29371</f>
        <v>29371</v>
      </c>
      <c r="L49" s="14">
        <v>48116.0</v>
      </c>
      <c r="M49" s="18">
        <v>57632.0</v>
      </c>
      <c r="N49" s="14">
        <v>68465.0</v>
      </c>
      <c r="O49" s="14">
        <v>77659.0</v>
      </c>
      <c r="P49" s="15">
        <v>85496.0</v>
      </c>
      <c r="Q49" s="15">
        <v>88167.0</v>
      </c>
    </row>
    <row r="50" ht="12.0" customHeight="1">
      <c r="A50" s="4"/>
      <c r="B50" s="12" t="s">
        <v>33</v>
      </c>
      <c r="C50" s="37">
        <v>63372.0</v>
      </c>
      <c r="D50" s="37">
        <v>60659.0</v>
      </c>
      <c r="E50" s="37">
        <v>62012.0</v>
      </c>
      <c r="F50" s="37">
        <v>60674.0</v>
      </c>
      <c r="G50" s="37">
        <v>56506.0</v>
      </c>
      <c r="H50" s="37">
        <v>55688.0</v>
      </c>
      <c r="I50" s="37">
        <v>50722.0</v>
      </c>
      <c r="J50" s="37">
        <v>41269.0</v>
      </c>
      <c r="K50" s="14">
        <v>37036.0</v>
      </c>
      <c r="L50" s="14">
        <v>32317.0</v>
      </c>
      <c r="M50" s="14">
        <v>29834.0</v>
      </c>
      <c r="N50" s="14">
        <v>27037.0</v>
      </c>
      <c r="O50" s="14">
        <v>25395.0</v>
      </c>
      <c r="P50" s="15">
        <v>38334.0</v>
      </c>
      <c r="Q50" s="15">
        <v>34612.0</v>
      </c>
    </row>
    <row r="51" ht="12.0" customHeight="1">
      <c r="A51" s="4"/>
      <c r="B51" s="12" t="s">
        <v>45</v>
      </c>
      <c r="C51" s="37">
        <v>173.0</v>
      </c>
      <c r="D51" s="37">
        <v>161.0</v>
      </c>
      <c r="E51" s="37">
        <v>507.0</v>
      </c>
      <c r="F51" s="37">
        <v>633.0</v>
      </c>
      <c r="G51" s="37">
        <v>1189.0</v>
      </c>
      <c r="H51" s="37">
        <v>14586.0</v>
      </c>
      <c r="I51" s="37">
        <v>14587.0</v>
      </c>
      <c r="J51" s="37">
        <v>12347.0</v>
      </c>
      <c r="K51" s="14">
        <v>12074.0</v>
      </c>
      <c r="L51" s="14">
        <v>12079.0</v>
      </c>
      <c r="M51" s="14">
        <v>12061.0</v>
      </c>
      <c r="N51" s="14">
        <v>9620.0</v>
      </c>
      <c r="O51" s="14">
        <v>9696.0</v>
      </c>
      <c r="P51" s="15">
        <v>9598.0</v>
      </c>
      <c r="Q51" s="15">
        <v>9598.0</v>
      </c>
    </row>
    <row r="52" ht="12.0" customHeight="1">
      <c r="A52" s="4"/>
      <c r="B52" s="16" t="s">
        <v>35</v>
      </c>
      <c r="C52" s="37">
        <v>0.0</v>
      </c>
      <c r="D52" s="37" t="s">
        <v>46</v>
      </c>
      <c r="E52" s="37">
        <v>35872.0</v>
      </c>
      <c r="F52" s="37">
        <v>36803.0</v>
      </c>
      <c r="G52" s="37">
        <v>59508.0</v>
      </c>
      <c r="H52" s="37">
        <v>67627.0</v>
      </c>
      <c r="I52" s="37">
        <v>55279.0</v>
      </c>
      <c r="J52" s="37">
        <v>133299.0</v>
      </c>
      <c r="K52" s="14">
        <f>132681</f>
        <v>132681</v>
      </c>
      <c r="L52" s="14">
        <v>126785.0</v>
      </c>
      <c r="M52" s="14">
        <v>124168.0</v>
      </c>
      <c r="N52" s="14">
        <v>122689.0</v>
      </c>
      <c r="O52" s="14">
        <v>30802.0</v>
      </c>
      <c r="P52" s="15">
        <v>27953.0</v>
      </c>
      <c r="Q52" s="15">
        <v>20490.0</v>
      </c>
    </row>
    <row r="53" ht="12.0" customHeight="1">
      <c r="A53" s="4"/>
      <c r="B53" s="12" t="s">
        <v>42</v>
      </c>
      <c r="C53" s="37">
        <v>2102.0</v>
      </c>
      <c r="D53" s="37">
        <v>957.0</v>
      </c>
      <c r="E53" s="37">
        <v>694.0</v>
      </c>
      <c r="F53" s="37">
        <v>1660.0</v>
      </c>
      <c r="G53" s="37">
        <v>2364.0</v>
      </c>
      <c r="H53" s="37">
        <v>1739.0</v>
      </c>
      <c r="I53" s="37">
        <v>2020.0</v>
      </c>
      <c r="J53" s="37">
        <v>3530.0</v>
      </c>
      <c r="K53" s="14">
        <v>2929.0</v>
      </c>
      <c r="L53" s="14">
        <v>3187.0</v>
      </c>
      <c r="M53" s="14">
        <v>8595.0</v>
      </c>
      <c r="N53" s="14">
        <v>7807.0</v>
      </c>
      <c r="O53" s="14">
        <v>14067.0</v>
      </c>
      <c r="P53" s="15">
        <v>13830.0</v>
      </c>
      <c r="Q53" s="15">
        <v>15445.0</v>
      </c>
    </row>
    <row r="54" ht="12.0" customHeight="1">
      <c r="A54" s="4"/>
      <c r="B54" s="38" t="s">
        <v>47</v>
      </c>
      <c r="C54" s="35">
        <f t="shared" ref="C54:Q54" si="5">SUM(C48:C53)</f>
        <v>70330</v>
      </c>
      <c r="D54" s="35">
        <f t="shared" si="5"/>
        <v>75630</v>
      </c>
      <c r="E54" s="35">
        <f t="shared" si="5"/>
        <v>742538</v>
      </c>
      <c r="F54" s="35">
        <f t="shared" si="5"/>
        <v>724076</v>
      </c>
      <c r="G54" s="35">
        <f t="shared" si="5"/>
        <v>698996</v>
      </c>
      <c r="H54" s="35">
        <f t="shared" si="5"/>
        <v>629417</v>
      </c>
      <c r="I54" s="35">
        <f t="shared" si="5"/>
        <v>576337</v>
      </c>
      <c r="J54" s="35">
        <f t="shared" si="5"/>
        <v>965120</v>
      </c>
      <c r="K54" s="35">
        <f t="shared" si="5"/>
        <v>936541</v>
      </c>
      <c r="L54" s="35">
        <f t="shared" si="5"/>
        <v>887385</v>
      </c>
      <c r="M54" s="35">
        <f t="shared" si="5"/>
        <v>857330</v>
      </c>
      <c r="N54" s="35">
        <f t="shared" si="5"/>
        <v>850362</v>
      </c>
      <c r="O54" s="35">
        <f t="shared" si="5"/>
        <v>817888</v>
      </c>
      <c r="P54" s="35">
        <f t="shared" si="5"/>
        <v>841379</v>
      </c>
      <c r="Q54" s="35">
        <f t="shared" si="5"/>
        <v>755341</v>
      </c>
    </row>
    <row r="55" ht="9.0" customHeight="1">
      <c r="A55" s="4"/>
      <c r="B55" s="10"/>
      <c r="C55" s="36"/>
      <c r="D55" s="36"/>
      <c r="E55" s="36"/>
      <c r="F55" s="36"/>
      <c r="G55" s="36"/>
      <c r="H55" s="36"/>
      <c r="I55" s="36"/>
      <c r="J55" s="36"/>
      <c r="K55" s="4"/>
      <c r="L55" s="4"/>
      <c r="M55" s="4"/>
      <c r="N55" s="4"/>
      <c r="O55" s="4"/>
      <c r="P55" s="4"/>
      <c r="Q55" s="4"/>
    </row>
    <row r="56" ht="12.0" customHeight="1">
      <c r="A56" s="4"/>
      <c r="B56" s="8" t="s">
        <v>48</v>
      </c>
      <c r="C56" s="37"/>
      <c r="D56" s="37"/>
      <c r="E56" s="37"/>
      <c r="F56" s="37"/>
      <c r="G56" s="37"/>
      <c r="H56" s="37"/>
      <c r="I56" s="37"/>
      <c r="J56" s="37"/>
      <c r="K56" s="4"/>
      <c r="L56" s="4"/>
      <c r="M56" s="4"/>
      <c r="N56" s="4"/>
      <c r="O56" s="4"/>
      <c r="P56" s="4"/>
      <c r="Q56" s="4"/>
    </row>
    <row r="57" ht="12.0" customHeight="1">
      <c r="A57" s="4"/>
      <c r="B57" s="12" t="s">
        <v>49</v>
      </c>
      <c r="C57" s="37">
        <v>68968.0</v>
      </c>
      <c r="D57" s="37">
        <v>68968.0</v>
      </c>
      <c r="E57" s="37">
        <v>59542.0</v>
      </c>
      <c r="F57" s="37">
        <v>36.0</v>
      </c>
      <c r="G57" s="37">
        <v>37.0</v>
      </c>
      <c r="H57" s="37">
        <v>37.0</v>
      </c>
      <c r="I57" s="37">
        <v>37.0</v>
      </c>
      <c r="J57" s="37">
        <v>37.0</v>
      </c>
      <c r="K57" s="4">
        <v>37.0</v>
      </c>
      <c r="L57" s="4">
        <v>37.0</v>
      </c>
      <c r="M57" s="4">
        <v>37.0</v>
      </c>
      <c r="N57" s="4">
        <v>37.0</v>
      </c>
      <c r="O57" s="4">
        <v>37.0</v>
      </c>
      <c r="P57" s="39">
        <v>37.0</v>
      </c>
      <c r="Q57" s="39">
        <v>37.0</v>
      </c>
    </row>
    <row r="58" ht="12.0" customHeight="1">
      <c r="A58" s="4"/>
      <c r="B58" s="12" t="s">
        <v>50</v>
      </c>
      <c r="C58" s="37">
        <v>0.0</v>
      </c>
      <c r="D58" s="17">
        <v>0.0</v>
      </c>
      <c r="E58" s="17">
        <v>0.0</v>
      </c>
      <c r="F58" s="37">
        <v>915947.0</v>
      </c>
      <c r="G58" s="37">
        <v>929984.0</v>
      </c>
      <c r="H58" s="37">
        <v>929984.0</v>
      </c>
      <c r="I58" s="37">
        <v>946173.0</v>
      </c>
      <c r="J58" s="37">
        <v>946173.0</v>
      </c>
      <c r="K58" s="14">
        <v>946173.0</v>
      </c>
      <c r="L58" s="14">
        <v>946173.0</v>
      </c>
      <c r="M58" s="14">
        <v>946173.0</v>
      </c>
      <c r="N58" s="14">
        <v>980893.0</v>
      </c>
      <c r="O58" s="14">
        <v>983194.0</v>
      </c>
      <c r="P58" s="15">
        <v>983194.0</v>
      </c>
      <c r="Q58" s="15">
        <v>983021.0</v>
      </c>
    </row>
    <row r="59" ht="12.0" customHeight="1">
      <c r="A59" s="4"/>
      <c r="B59" s="12" t="s">
        <v>51</v>
      </c>
      <c r="C59" s="37">
        <v>0.0</v>
      </c>
      <c r="D59" s="17">
        <v>0.0</v>
      </c>
      <c r="E59" s="17">
        <v>0.0</v>
      </c>
      <c r="F59" s="17">
        <v>0.0</v>
      </c>
      <c r="G59" s="17">
        <v>0.0</v>
      </c>
      <c r="H59" s="17">
        <v>0.0</v>
      </c>
      <c r="I59" s="17">
        <v>0.0</v>
      </c>
      <c r="J59" s="17">
        <v>0.0</v>
      </c>
      <c r="K59" s="17">
        <v>0.0</v>
      </c>
      <c r="L59" s="37">
        <v>-18476.0</v>
      </c>
      <c r="M59" s="37">
        <v>-37827.0</v>
      </c>
      <c r="N59" s="18">
        <v>0.0</v>
      </c>
      <c r="O59" s="18">
        <v>-4143.0</v>
      </c>
      <c r="P59" s="19">
        <v>-30611.0</v>
      </c>
      <c r="Q59" s="19">
        <v>-50659.0</v>
      </c>
    </row>
    <row r="60" ht="12.0" customHeight="1">
      <c r="A60" s="4"/>
      <c r="B60" s="12" t="s">
        <v>52</v>
      </c>
      <c r="C60" s="37">
        <v>4112.0</v>
      </c>
      <c r="D60" s="37">
        <v>6764.0</v>
      </c>
      <c r="E60" s="37">
        <v>9007.0</v>
      </c>
      <c r="F60" s="37">
        <v>10105.0</v>
      </c>
      <c r="G60" s="37">
        <v>15377.0</v>
      </c>
      <c r="H60" s="37">
        <v>23796.0</v>
      </c>
      <c r="I60" s="37">
        <v>26045.0</v>
      </c>
      <c r="J60" s="37">
        <v>203218.0</v>
      </c>
      <c r="K60" s="14">
        <v>209093.0</v>
      </c>
      <c r="L60" s="14">
        <v>218382.0</v>
      </c>
      <c r="M60" s="14">
        <v>225436.0</v>
      </c>
      <c r="N60" s="14">
        <v>174153.0</v>
      </c>
      <c r="O60" s="14">
        <v>176774.0</v>
      </c>
      <c r="P60" s="15">
        <v>183517.0</v>
      </c>
      <c r="Q60" s="15">
        <v>194574.0</v>
      </c>
    </row>
    <row r="61" ht="12.0" customHeight="1">
      <c r="A61" s="4"/>
      <c r="B61" s="12" t="s">
        <v>53</v>
      </c>
      <c r="C61" s="37">
        <v>32825.0</v>
      </c>
      <c r="D61" s="37">
        <v>109308.0</v>
      </c>
      <c r="E61" s="37">
        <v>146170.0</v>
      </c>
      <c r="F61" s="37">
        <v>125957.0</v>
      </c>
      <c r="G61" s="37">
        <v>155180.0</v>
      </c>
      <c r="H61" s="37">
        <v>181179.0</v>
      </c>
      <c r="I61" s="37">
        <v>221787.0</v>
      </c>
      <c r="J61" s="37">
        <v>221667.0</v>
      </c>
      <c r="K61" s="14">
        <f>304255-30206-8748</f>
        <v>265301</v>
      </c>
      <c r="L61" s="14">
        <f>352095-30206-17619</f>
        <v>304270</v>
      </c>
      <c r="M61" s="14">
        <f>388256-30206-26733</f>
        <v>331317</v>
      </c>
      <c r="N61" s="14">
        <v>354240.0</v>
      </c>
      <c r="O61" s="14">
        <v>376649.0</v>
      </c>
      <c r="P61" s="15">
        <v>425157.0</v>
      </c>
      <c r="Q61" s="15">
        <v>453730.0</v>
      </c>
    </row>
    <row r="62" ht="12.0" customHeight="1">
      <c r="A62" s="4"/>
      <c r="B62" s="12" t="s">
        <v>54</v>
      </c>
      <c r="C62" s="37">
        <v>3800.0</v>
      </c>
      <c r="D62" s="37">
        <v>13420.0</v>
      </c>
      <c r="E62" s="37">
        <v>33142.0</v>
      </c>
      <c r="F62" s="37">
        <v>37250.0</v>
      </c>
      <c r="G62" s="37">
        <v>-91849.0</v>
      </c>
      <c r="H62" s="37">
        <v>-72173.0</v>
      </c>
      <c r="I62" s="37">
        <v>-88638.0</v>
      </c>
      <c r="J62" s="37">
        <v>-63122.0</v>
      </c>
      <c r="K62" s="37">
        <v>-72489.0</v>
      </c>
      <c r="L62" s="37">
        <v>-101427.0</v>
      </c>
      <c r="M62" s="37">
        <v>-89972.0</v>
      </c>
      <c r="N62" s="37">
        <v>-98072.0</v>
      </c>
      <c r="O62" s="37">
        <v>-79622.0</v>
      </c>
      <c r="P62" s="40">
        <v>3758.0</v>
      </c>
      <c r="Q62" s="40">
        <v>14121.0</v>
      </c>
    </row>
    <row r="63" ht="12.0" customHeight="1">
      <c r="A63" s="4"/>
      <c r="B63" s="38" t="s">
        <v>55</v>
      </c>
      <c r="C63" s="41">
        <f t="shared" ref="C63:Q63" si="6">SUM(C57:C62)</f>
        <v>109705</v>
      </c>
      <c r="D63" s="41">
        <f t="shared" si="6"/>
        <v>198460</v>
      </c>
      <c r="E63" s="41">
        <f t="shared" si="6"/>
        <v>247861</v>
      </c>
      <c r="F63" s="41">
        <f t="shared" si="6"/>
        <v>1089295</v>
      </c>
      <c r="G63" s="41">
        <f t="shared" si="6"/>
        <v>1008729</v>
      </c>
      <c r="H63" s="41">
        <f t="shared" si="6"/>
        <v>1062823</v>
      </c>
      <c r="I63" s="41">
        <f t="shared" si="6"/>
        <v>1105404</v>
      </c>
      <c r="J63" s="41">
        <f t="shared" si="6"/>
        <v>1307973</v>
      </c>
      <c r="K63" s="41">
        <f t="shared" si="6"/>
        <v>1348115</v>
      </c>
      <c r="L63" s="41">
        <f t="shared" si="6"/>
        <v>1348959</v>
      </c>
      <c r="M63" s="41">
        <f t="shared" si="6"/>
        <v>1375164</v>
      </c>
      <c r="N63" s="41">
        <f t="shared" si="6"/>
        <v>1411251</v>
      </c>
      <c r="O63" s="41">
        <f t="shared" si="6"/>
        <v>1452889</v>
      </c>
      <c r="P63" s="41">
        <f t="shared" si="6"/>
        <v>1565052</v>
      </c>
      <c r="Q63" s="41">
        <f t="shared" si="6"/>
        <v>1594824</v>
      </c>
    </row>
    <row r="64" ht="12.0" customHeight="1">
      <c r="A64" s="4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ht="12.0" customHeight="1">
      <c r="A65" s="4"/>
      <c r="B65" s="29" t="s">
        <v>56</v>
      </c>
      <c r="C65" s="30">
        <f t="shared" ref="C65:Q65" si="7">C63+C54+C46</f>
        <v>407447</v>
      </c>
      <c r="D65" s="30">
        <f t="shared" si="7"/>
        <v>585082</v>
      </c>
      <c r="E65" s="30">
        <f t="shared" si="7"/>
        <v>1531615</v>
      </c>
      <c r="F65" s="30">
        <f t="shared" si="7"/>
        <v>2362344</v>
      </c>
      <c r="G65" s="30">
        <f t="shared" si="7"/>
        <v>2361864</v>
      </c>
      <c r="H65" s="30">
        <f t="shared" si="7"/>
        <v>2365002</v>
      </c>
      <c r="I65" s="30">
        <f t="shared" si="7"/>
        <v>2429911</v>
      </c>
      <c r="J65" s="30">
        <f t="shared" si="7"/>
        <v>3002958</v>
      </c>
      <c r="K65" s="30">
        <f t="shared" si="7"/>
        <v>2983222</v>
      </c>
      <c r="L65" s="30">
        <f t="shared" si="7"/>
        <v>2789192</v>
      </c>
      <c r="M65" s="30">
        <f t="shared" si="7"/>
        <v>2823785</v>
      </c>
      <c r="N65" s="30">
        <f t="shared" si="7"/>
        <v>2716891</v>
      </c>
      <c r="O65" s="30">
        <f t="shared" si="7"/>
        <v>2822803</v>
      </c>
      <c r="P65" s="30">
        <f t="shared" si="7"/>
        <v>3006147</v>
      </c>
      <c r="Q65" s="30">
        <f t="shared" si="7"/>
        <v>3099935</v>
      </c>
    </row>
  </sheetData>
  <conditionalFormatting sqref="A1:Q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44.0"/>
    <col customWidth="1" min="3" max="34" width="10.13"/>
  </cols>
  <sheetData>
    <row r="1" ht="12.0" customHeight="1">
      <c r="A1" s="1" t="s">
        <v>0</v>
      </c>
      <c r="B1" s="1"/>
      <c r="C1" s="1"/>
      <c r="D1" s="2"/>
      <c r="E1" s="2"/>
      <c r="F1" s="2"/>
      <c r="G1" s="1"/>
      <c r="H1" s="1"/>
      <c r="I1" s="2"/>
      <c r="J1" s="2"/>
      <c r="K1" s="2"/>
      <c r="L1" s="2"/>
      <c r="M1" s="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ht="12.0" customHeight="1">
      <c r="A2" s="3" t="s">
        <v>1</v>
      </c>
      <c r="B2" s="4"/>
      <c r="C2" s="3"/>
      <c r="D2" s="4"/>
      <c r="E2" s="4"/>
      <c r="F2" s="4"/>
      <c r="G2" s="3"/>
      <c r="H2" s="3"/>
      <c r="I2" s="4"/>
      <c r="J2" s="4"/>
      <c r="K2" s="4"/>
      <c r="L2" s="4"/>
      <c r="M2" s="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ht="12.0" customHeight="1">
      <c r="A3" s="4"/>
      <c r="B3" s="3"/>
      <c r="C3" s="4"/>
      <c r="D3" s="4"/>
      <c r="E3" s="4"/>
      <c r="F3" s="4"/>
      <c r="G3" s="4"/>
      <c r="H3" s="4"/>
      <c r="I3" s="3"/>
      <c r="J3" s="3"/>
      <c r="K3" s="3"/>
      <c r="L3" s="4"/>
      <c r="M3" s="4"/>
      <c r="N3" s="44"/>
      <c r="O3" s="44"/>
      <c r="P3" s="44"/>
      <c r="Q3" s="44"/>
      <c r="R3" s="44"/>
      <c r="S3" s="44"/>
      <c r="T3" s="44"/>
      <c r="U3" s="5"/>
      <c r="V3" s="5" t="s">
        <v>2</v>
      </c>
      <c r="W3" s="5" t="s">
        <v>2</v>
      </c>
      <c r="X3" s="5" t="s">
        <v>2</v>
      </c>
      <c r="Y3" s="44"/>
      <c r="Z3" s="5" t="s">
        <v>2</v>
      </c>
      <c r="AA3" s="44"/>
      <c r="AB3" s="44"/>
      <c r="AC3" s="44"/>
      <c r="AD3" s="44"/>
      <c r="AE3" s="44"/>
      <c r="AF3" s="44"/>
      <c r="AG3" s="44"/>
      <c r="AH3" s="44"/>
    </row>
    <row r="4" ht="12.0" customHeight="1">
      <c r="A4" s="4"/>
      <c r="B4" s="4"/>
      <c r="C4" s="45">
        <v>2019.0</v>
      </c>
      <c r="D4" s="45" t="s">
        <v>57</v>
      </c>
      <c r="E4" s="45" t="s">
        <v>58</v>
      </c>
      <c r="F4" s="45" t="s">
        <v>59</v>
      </c>
      <c r="G4" s="45" t="s">
        <v>60</v>
      </c>
      <c r="H4" s="45">
        <v>2020.0</v>
      </c>
      <c r="I4" s="45" t="s">
        <v>61</v>
      </c>
      <c r="J4" s="45" t="s">
        <v>62</v>
      </c>
      <c r="K4" s="45" t="s">
        <v>63</v>
      </c>
      <c r="L4" s="45" t="s">
        <v>64</v>
      </c>
      <c r="M4" s="45" t="s">
        <v>65</v>
      </c>
      <c r="N4" s="45" t="s">
        <v>66</v>
      </c>
      <c r="O4" s="45">
        <v>2021.0</v>
      </c>
      <c r="P4" s="45" t="s">
        <v>67</v>
      </c>
      <c r="Q4" s="45" t="s">
        <v>68</v>
      </c>
      <c r="R4" s="45" t="s">
        <v>69</v>
      </c>
      <c r="S4" s="45" t="s">
        <v>70</v>
      </c>
      <c r="T4" s="45" t="s">
        <v>71</v>
      </c>
      <c r="U4" s="45" t="s">
        <v>72</v>
      </c>
      <c r="V4" s="45">
        <v>2022.0</v>
      </c>
      <c r="W4" s="45" t="s">
        <v>73</v>
      </c>
      <c r="X4" s="45" t="s">
        <v>74</v>
      </c>
      <c r="Y4" s="45" t="s">
        <v>75</v>
      </c>
      <c r="Z4" s="45" t="s">
        <v>76</v>
      </c>
      <c r="AA4" s="45" t="s">
        <v>77</v>
      </c>
      <c r="AB4" s="46" t="s">
        <v>78</v>
      </c>
      <c r="AC4" s="46">
        <v>2023.0</v>
      </c>
      <c r="AD4" s="46" t="s">
        <v>79</v>
      </c>
      <c r="AE4" s="47" t="s">
        <v>80</v>
      </c>
      <c r="AF4" s="47" t="s">
        <v>81</v>
      </c>
      <c r="AG4" s="47" t="s">
        <v>82</v>
      </c>
      <c r="AH4" s="47" t="s">
        <v>83</v>
      </c>
    </row>
    <row r="5" ht="4.5" customHeight="1">
      <c r="A5" s="4"/>
      <c r="B5" s="4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  <c r="O5" s="49"/>
      <c r="P5" s="49"/>
      <c r="Q5" s="49"/>
      <c r="R5" s="49"/>
      <c r="S5" s="49"/>
      <c r="T5" s="49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ht="12.0" customHeight="1">
      <c r="A6" s="4"/>
      <c r="B6" s="3" t="s">
        <v>84</v>
      </c>
      <c r="C6" s="50">
        <v>677133.0</v>
      </c>
      <c r="D6" s="50">
        <v>448254.4</v>
      </c>
      <c r="E6" s="50">
        <v>242897.0</v>
      </c>
      <c r="F6" s="50">
        <v>691152.0</v>
      </c>
      <c r="G6" s="50">
        <v>265367.0</v>
      </c>
      <c r="H6" s="50">
        <v>956519.0</v>
      </c>
      <c r="I6" s="50">
        <v>296292.0</v>
      </c>
      <c r="J6" s="50">
        <v>315324.0</v>
      </c>
      <c r="K6" s="50">
        <v>611616.0</v>
      </c>
      <c r="L6" s="50">
        <v>375970.0</v>
      </c>
      <c r="M6" s="50">
        <v>987586.0</v>
      </c>
      <c r="N6" s="51">
        <v>456794.0</v>
      </c>
      <c r="O6" s="51">
        <v>1444380.0</v>
      </c>
      <c r="P6" s="51">
        <v>491872.0</v>
      </c>
      <c r="Q6" s="51">
        <v>525015.0</v>
      </c>
      <c r="R6" s="51">
        <v>1016887.0</v>
      </c>
      <c r="S6" s="51">
        <v>559018.0</v>
      </c>
      <c r="T6" s="51">
        <v>1575905.0</v>
      </c>
      <c r="U6" s="52">
        <v>611805.0</v>
      </c>
      <c r="V6" s="52">
        <v>2187710.0</v>
      </c>
      <c r="W6" s="52">
        <v>609991.0</v>
      </c>
      <c r="X6" s="52">
        <v>571832.0</v>
      </c>
      <c r="Y6" s="52">
        <v>1181824.0</v>
      </c>
      <c r="Z6" s="52">
        <v>529083.0</v>
      </c>
      <c r="AA6" s="52">
        <v>1710907.0</v>
      </c>
      <c r="AB6" s="52">
        <v>522560.0</v>
      </c>
      <c r="AC6" s="52">
        <f>SUM(AA6:AB6)-1</f>
        <v>2233466</v>
      </c>
      <c r="AD6" s="52">
        <v>523509.0</v>
      </c>
      <c r="AE6" s="53">
        <v>565652.0</v>
      </c>
      <c r="AF6" s="52">
        <f>SUM(AD6:AE6)</f>
        <v>1089161</v>
      </c>
      <c r="AG6" s="53">
        <v>622160.0</v>
      </c>
      <c r="AH6" s="53">
        <v>1711321.0</v>
      </c>
    </row>
    <row r="7" ht="12.0" customHeight="1">
      <c r="A7" s="54"/>
      <c r="B7" s="55" t="s">
        <v>85</v>
      </c>
      <c r="C7" s="56"/>
      <c r="D7" s="56"/>
      <c r="E7" s="56"/>
      <c r="F7" s="56"/>
      <c r="G7" s="56"/>
      <c r="H7" s="56"/>
      <c r="I7" s="56"/>
      <c r="J7" s="57"/>
      <c r="K7" s="57">
        <f t="shared" ref="K7:AH7" si="1">K6/D6-1</f>
        <v>0.364439479</v>
      </c>
      <c r="L7" s="57">
        <f t="shared" si="1"/>
        <v>0.5478577339</v>
      </c>
      <c r="M7" s="57">
        <f t="shared" si="1"/>
        <v>0.4288984189</v>
      </c>
      <c r="N7" s="57">
        <f t="shared" si="1"/>
        <v>0.7213670125</v>
      </c>
      <c r="O7" s="57">
        <f t="shared" si="1"/>
        <v>0.5100379606</v>
      </c>
      <c r="P7" s="57">
        <f t="shared" si="1"/>
        <v>0.6600920713</v>
      </c>
      <c r="Q7" s="57">
        <f t="shared" si="1"/>
        <v>0.6650017125</v>
      </c>
      <c r="R7" s="57">
        <f t="shared" si="1"/>
        <v>0.66262328</v>
      </c>
      <c r="S7" s="57">
        <f t="shared" si="1"/>
        <v>0.4868686331</v>
      </c>
      <c r="T7" s="57">
        <f t="shared" si="1"/>
        <v>0.595714196</v>
      </c>
      <c r="U7" s="57">
        <f t="shared" si="1"/>
        <v>0.3393455256</v>
      </c>
      <c r="V7" s="57">
        <f t="shared" si="1"/>
        <v>0.5146360376</v>
      </c>
      <c r="W7" s="57">
        <f t="shared" si="1"/>
        <v>0.2401417442</v>
      </c>
      <c r="X7" s="58">
        <f t="shared" si="1"/>
        <v>0.0891726903</v>
      </c>
      <c r="Y7" s="58">
        <f t="shared" si="1"/>
        <v>0.162197963</v>
      </c>
      <c r="Z7" s="58">
        <f t="shared" si="1"/>
        <v>-0.05354925959</v>
      </c>
      <c r="AA7" s="58">
        <f t="shared" si="1"/>
        <v>0.08566633141</v>
      </c>
      <c r="AB7" s="58">
        <f t="shared" si="1"/>
        <v>-0.1458716421</v>
      </c>
      <c r="AC7" s="58">
        <f t="shared" si="1"/>
        <v>0.02091502073</v>
      </c>
      <c r="AD7" s="58">
        <f t="shared" si="1"/>
        <v>-0.1417758623</v>
      </c>
      <c r="AE7" s="58">
        <f t="shared" si="1"/>
        <v>-0.01080737</v>
      </c>
      <c r="AF7" s="58">
        <f t="shared" si="1"/>
        <v>-0.07840676784</v>
      </c>
      <c r="AG7" s="58">
        <f t="shared" si="1"/>
        <v>0.1759213583</v>
      </c>
      <c r="AH7" s="58">
        <f t="shared" si="1"/>
        <v>0.0002419769163</v>
      </c>
    </row>
    <row r="8" ht="12.0" customHeight="1">
      <c r="A8" s="54"/>
      <c r="B8" s="55" t="s">
        <v>86</v>
      </c>
      <c r="C8" s="56"/>
      <c r="D8" s="56"/>
      <c r="E8" s="57"/>
      <c r="F8" s="56"/>
      <c r="G8" s="57">
        <f>G6/E6-1</f>
        <v>0.09250834716</v>
      </c>
      <c r="H8" s="56"/>
      <c r="I8" s="57">
        <f>I6/G6-1</f>
        <v>0.1165367208</v>
      </c>
      <c r="J8" s="57">
        <f>J6/I6-1</f>
        <v>0.06423393139</v>
      </c>
      <c r="K8" s="56"/>
      <c r="L8" s="57">
        <f>L6/J6-1</f>
        <v>0.1923291598</v>
      </c>
      <c r="M8" s="56"/>
      <c r="N8" s="57">
        <f>N6/L6-1</f>
        <v>0.214974599</v>
      </c>
      <c r="O8" s="59"/>
      <c r="P8" s="57">
        <f>P6/N6-1</f>
        <v>0.07679172669</v>
      </c>
      <c r="Q8" s="57">
        <f>Q6/P6-1</f>
        <v>0.06738135125</v>
      </c>
      <c r="R8" s="59"/>
      <c r="S8" s="57">
        <f>S6/Q6-1</f>
        <v>0.0647657686</v>
      </c>
      <c r="T8" s="57"/>
      <c r="U8" s="57">
        <f>U6/S6-1</f>
        <v>0.09442808639</v>
      </c>
      <c r="V8" s="60"/>
      <c r="W8" s="57">
        <f>W6/U6-1</f>
        <v>-0.002964997017</v>
      </c>
      <c r="X8" s="58">
        <f>X6/W6-1</f>
        <v>-0.06255666067</v>
      </c>
      <c r="Y8" s="61"/>
      <c r="Z8" s="58">
        <f>Z6/X6-1</f>
        <v>-0.07475797087</v>
      </c>
      <c r="AA8" s="61"/>
      <c r="AB8" s="58">
        <f>AB6/Z6-1</f>
        <v>-0.01232887846</v>
      </c>
      <c r="AC8" s="61"/>
      <c r="AD8" s="58">
        <f>AD6/AB6-1</f>
        <v>0.0018160594</v>
      </c>
      <c r="AE8" s="58">
        <f>AE6/AD6-1</f>
        <v>0.0805010038</v>
      </c>
      <c r="AF8" s="58"/>
      <c r="AG8" s="58">
        <f>AG6/AE6-1</f>
        <v>0.09989887776</v>
      </c>
      <c r="AH8" s="58"/>
    </row>
    <row r="9" ht="12.0" customHeight="1">
      <c r="A9" s="4"/>
      <c r="B9" s="4" t="s">
        <v>87</v>
      </c>
      <c r="C9" s="62">
        <v>-448979.0</v>
      </c>
      <c r="D9" s="62">
        <v>-284257.0</v>
      </c>
      <c r="E9" s="62">
        <v>-150315.0</v>
      </c>
      <c r="F9" s="62">
        <v>-434572.0</v>
      </c>
      <c r="G9" s="62">
        <v>-166294.0</v>
      </c>
      <c r="H9" s="62">
        <v>-600866.0</v>
      </c>
      <c r="I9" s="62">
        <v>-188372.0</v>
      </c>
      <c r="J9" s="62">
        <v>-205768.0</v>
      </c>
      <c r="K9" s="62">
        <v>-394140.0</v>
      </c>
      <c r="L9" s="62">
        <v>-246846.0</v>
      </c>
      <c r="M9" s="62">
        <v>-640986.0</v>
      </c>
      <c r="N9" s="63">
        <v>-294746.0</v>
      </c>
      <c r="O9" s="63">
        <v>-935732.0</v>
      </c>
      <c r="P9" s="63">
        <v>-328992.0</v>
      </c>
      <c r="Q9" s="63">
        <v>-341502.0</v>
      </c>
      <c r="R9" s="63">
        <v>-670494.0</v>
      </c>
      <c r="S9" s="63">
        <v>-363617.0</v>
      </c>
      <c r="T9" s="63">
        <v>-1034111.0</v>
      </c>
      <c r="U9" s="63">
        <v>-391108.0</v>
      </c>
      <c r="V9" s="63">
        <v>-1425219.0</v>
      </c>
      <c r="W9" s="63">
        <v>-407861.0</v>
      </c>
      <c r="X9" s="64">
        <v>-374196.0</v>
      </c>
      <c r="Y9" s="64">
        <v>-782057.0</v>
      </c>
      <c r="Z9" s="64">
        <v>-356779.0</v>
      </c>
      <c r="AA9" s="64">
        <v>-1138836.0</v>
      </c>
      <c r="AB9" s="64">
        <v>-348906.0</v>
      </c>
      <c r="AC9" s="64">
        <f>SUM(AA9:AB9)</f>
        <v>-1487742</v>
      </c>
      <c r="AD9" s="64">
        <v>-355948.0</v>
      </c>
      <c r="AE9" s="65">
        <v>-369674.0</v>
      </c>
      <c r="AF9" s="64">
        <f t="shared" ref="AF9:AF22" si="3">SUM(AD9:AE9)</f>
        <v>-725622</v>
      </c>
      <c r="AG9" s="65">
        <v>-406481.0</v>
      </c>
      <c r="AH9" s="65">
        <f>SUM(AF9:AG9)</f>
        <v>-1132103</v>
      </c>
    </row>
    <row r="10" ht="12.0" customHeight="1">
      <c r="A10" s="4"/>
      <c r="B10" s="3" t="s">
        <v>88</v>
      </c>
      <c r="C10" s="50">
        <f t="shared" ref="C10:AE10" si="2">C9+C6</f>
        <v>228154</v>
      </c>
      <c r="D10" s="50">
        <f t="shared" si="2"/>
        <v>163997.4</v>
      </c>
      <c r="E10" s="50">
        <f t="shared" si="2"/>
        <v>92582</v>
      </c>
      <c r="F10" s="50">
        <f t="shared" si="2"/>
        <v>256580</v>
      </c>
      <c r="G10" s="50">
        <f t="shared" si="2"/>
        <v>99073</v>
      </c>
      <c r="H10" s="50">
        <f t="shared" si="2"/>
        <v>355653</v>
      </c>
      <c r="I10" s="50">
        <f t="shared" si="2"/>
        <v>107920</v>
      </c>
      <c r="J10" s="50">
        <f t="shared" si="2"/>
        <v>109556</v>
      </c>
      <c r="K10" s="50">
        <f t="shared" si="2"/>
        <v>217476</v>
      </c>
      <c r="L10" s="50">
        <f t="shared" si="2"/>
        <v>129124</v>
      </c>
      <c r="M10" s="50">
        <f t="shared" si="2"/>
        <v>346600</v>
      </c>
      <c r="N10" s="50">
        <f t="shared" si="2"/>
        <v>162048</v>
      </c>
      <c r="O10" s="50">
        <f t="shared" si="2"/>
        <v>508648</v>
      </c>
      <c r="P10" s="50">
        <f t="shared" si="2"/>
        <v>162880</v>
      </c>
      <c r="Q10" s="50">
        <f t="shared" si="2"/>
        <v>183513</v>
      </c>
      <c r="R10" s="50">
        <f t="shared" si="2"/>
        <v>346393</v>
      </c>
      <c r="S10" s="50">
        <f t="shared" si="2"/>
        <v>195401</v>
      </c>
      <c r="T10" s="50">
        <f t="shared" si="2"/>
        <v>541794</v>
      </c>
      <c r="U10" s="50">
        <f t="shared" si="2"/>
        <v>220697</v>
      </c>
      <c r="V10" s="50">
        <f t="shared" si="2"/>
        <v>762491</v>
      </c>
      <c r="W10" s="50">
        <f t="shared" si="2"/>
        <v>202130</v>
      </c>
      <c r="X10" s="66">
        <f t="shared" si="2"/>
        <v>197636</v>
      </c>
      <c r="Y10" s="66">
        <f t="shared" si="2"/>
        <v>399767</v>
      </c>
      <c r="Z10" s="66">
        <f t="shared" si="2"/>
        <v>172304</v>
      </c>
      <c r="AA10" s="66">
        <f t="shared" si="2"/>
        <v>572071</v>
      </c>
      <c r="AB10" s="66">
        <f t="shared" si="2"/>
        <v>173654</v>
      </c>
      <c r="AC10" s="66">
        <f t="shared" si="2"/>
        <v>745724</v>
      </c>
      <c r="AD10" s="66">
        <f t="shared" si="2"/>
        <v>167561</v>
      </c>
      <c r="AE10" s="66">
        <f t="shared" si="2"/>
        <v>195978</v>
      </c>
      <c r="AF10" s="52">
        <f t="shared" si="3"/>
        <v>363539</v>
      </c>
      <c r="AG10" s="66">
        <f t="shared" ref="AG10:AH10" si="4">AG9+AG6</f>
        <v>215679</v>
      </c>
      <c r="AH10" s="66">
        <f t="shared" si="4"/>
        <v>579218</v>
      </c>
    </row>
    <row r="11" ht="12.0" customHeight="1">
      <c r="A11" s="4"/>
      <c r="B11" s="4" t="s">
        <v>89</v>
      </c>
      <c r="C11" s="62">
        <f t="shared" ref="C11:AE11" si="5">SUM(C12:C14)</f>
        <v>-135364</v>
      </c>
      <c r="D11" s="62">
        <f t="shared" si="5"/>
        <v>-62865.6</v>
      </c>
      <c r="E11" s="62">
        <f t="shared" si="5"/>
        <v>-35128</v>
      </c>
      <c r="F11" s="62">
        <f t="shared" si="5"/>
        <v>-97999</v>
      </c>
      <c r="G11" s="62">
        <f t="shared" si="5"/>
        <v>-49214</v>
      </c>
      <c r="H11" s="62">
        <f t="shared" si="5"/>
        <v>-147213</v>
      </c>
      <c r="I11" s="62">
        <f t="shared" si="5"/>
        <v>-43115</v>
      </c>
      <c r="J11" s="62">
        <f t="shared" si="5"/>
        <v>-47313</v>
      </c>
      <c r="K11" s="62">
        <f t="shared" si="5"/>
        <v>-90428</v>
      </c>
      <c r="L11" s="62">
        <f t="shared" si="5"/>
        <v>-88397</v>
      </c>
      <c r="M11" s="62">
        <f t="shared" si="5"/>
        <v>-178824</v>
      </c>
      <c r="N11" s="62">
        <f t="shared" si="5"/>
        <v>-84721</v>
      </c>
      <c r="O11" s="62">
        <f t="shared" si="5"/>
        <v>-263545</v>
      </c>
      <c r="P11" s="62">
        <f t="shared" si="5"/>
        <v>-100565</v>
      </c>
      <c r="Q11" s="62">
        <f t="shared" si="5"/>
        <v>-122321</v>
      </c>
      <c r="R11" s="62">
        <f t="shared" si="5"/>
        <v>-222886</v>
      </c>
      <c r="S11" s="62">
        <f t="shared" si="5"/>
        <v>-131149</v>
      </c>
      <c r="T11" s="62">
        <f t="shared" si="5"/>
        <v>-354035</v>
      </c>
      <c r="U11" s="62">
        <f t="shared" si="5"/>
        <v>-134209</v>
      </c>
      <c r="V11" s="62">
        <f t="shared" si="5"/>
        <v>-488244</v>
      </c>
      <c r="W11" s="62">
        <f t="shared" si="5"/>
        <v>-116452</v>
      </c>
      <c r="X11" s="67">
        <f t="shared" si="5"/>
        <v>-119885</v>
      </c>
      <c r="Y11" s="67">
        <f t="shared" si="5"/>
        <v>-236336</v>
      </c>
      <c r="Z11" s="67">
        <f t="shared" si="5"/>
        <v>-106048</v>
      </c>
      <c r="AA11" s="67">
        <f t="shared" si="5"/>
        <v>-338186</v>
      </c>
      <c r="AB11" s="67">
        <f t="shared" si="5"/>
        <v>-120506</v>
      </c>
      <c r="AC11" s="67">
        <f t="shared" si="5"/>
        <v>-458692</v>
      </c>
      <c r="AD11" s="67">
        <f t="shared" si="5"/>
        <v>-114202</v>
      </c>
      <c r="AE11" s="67">
        <f t="shared" si="5"/>
        <v>-118175</v>
      </c>
      <c r="AF11" s="67">
        <f t="shared" si="3"/>
        <v>-232377</v>
      </c>
      <c r="AG11" s="67">
        <f t="shared" ref="AG11:AH11" si="6">SUM(AG12:AG14)</f>
        <v>-132150</v>
      </c>
      <c r="AH11" s="67">
        <f t="shared" si="6"/>
        <v>-364527</v>
      </c>
    </row>
    <row r="12" ht="12.0" customHeight="1">
      <c r="A12" s="4"/>
      <c r="B12" s="68" t="s">
        <v>90</v>
      </c>
      <c r="C12" s="56">
        <v>-44802.0</v>
      </c>
      <c r="D12" s="56">
        <v>-24510.0</v>
      </c>
      <c r="E12" s="56">
        <v>-14769.0</v>
      </c>
      <c r="F12" s="56">
        <v>-39278.0</v>
      </c>
      <c r="G12" s="56">
        <v>-25815.0</v>
      </c>
      <c r="H12" s="56">
        <v>-65093.0</v>
      </c>
      <c r="I12" s="56">
        <v>-18979.0</v>
      </c>
      <c r="J12" s="56">
        <v>-18801.0</v>
      </c>
      <c r="K12" s="56">
        <v>-37780.0</v>
      </c>
      <c r="L12" s="56">
        <v>-24122.0</v>
      </c>
      <c r="M12" s="56">
        <v>-61902.0</v>
      </c>
      <c r="N12" s="69">
        <v>-27752.0</v>
      </c>
      <c r="O12" s="59">
        <v>-89654.0</v>
      </c>
      <c r="P12" s="59">
        <v>-35129.0</v>
      </c>
      <c r="Q12" s="59">
        <v>-39962.0</v>
      </c>
      <c r="R12" s="59">
        <v>-75091.0</v>
      </c>
      <c r="S12" s="59">
        <v>-43337.0</v>
      </c>
      <c r="T12" s="59">
        <v>-118428.0</v>
      </c>
      <c r="U12" s="56">
        <v>-45443.0</v>
      </c>
      <c r="V12" s="56">
        <v>-163871.0</v>
      </c>
      <c r="W12" s="56">
        <v>-45554.0</v>
      </c>
      <c r="X12" s="70">
        <v>-46284.0</v>
      </c>
      <c r="Y12" s="70">
        <v>-91838.0</v>
      </c>
      <c r="Z12" s="70">
        <v>-40405.0</v>
      </c>
      <c r="AA12" s="70">
        <v>-132243.0</v>
      </c>
      <c r="AB12" s="70">
        <v>-41400.0</v>
      </c>
      <c r="AC12" s="70">
        <f t="shared" ref="AC12:AC15" si="7">SUM(AA12:AB12)</f>
        <v>-173643</v>
      </c>
      <c r="AD12" s="70">
        <v>-46250.0</v>
      </c>
      <c r="AE12" s="71">
        <v>-49490.0</v>
      </c>
      <c r="AF12" s="70">
        <f t="shared" si="3"/>
        <v>-95740</v>
      </c>
      <c r="AG12" s="71">
        <v>-54179.0</v>
      </c>
      <c r="AH12" s="71">
        <f t="shared" ref="AH12:AH15" si="8">SUM(AF12:AG12)</f>
        <v>-149919</v>
      </c>
    </row>
    <row r="13" ht="12.0" customHeight="1">
      <c r="A13" s="4"/>
      <c r="B13" s="68" t="s">
        <v>91</v>
      </c>
      <c r="C13" s="56">
        <v>-81197.0</v>
      </c>
      <c r="D13" s="56">
        <f>-38032</f>
        <v>-38032</v>
      </c>
      <c r="E13" s="56">
        <v>-20268.0</v>
      </c>
      <c r="F13" s="56">
        <v>-58300.0</v>
      </c>
      <c r="G13" s="56">
        <v>-22861.0</v>
      </c>
      <c r="H13" s="56">
        <v>-81161.0</v>
      </c>
      <c r="I13" s="56">
        <v>-25726.0</v>
      </c>
      <c r="J13" s="56">
        <v>-28328.0</v>
      </c>
      <c r="K13" s="56">
        <v>-54054.0</v>
      </c>
      <c r="L13" s="56">
        <v>-38966.0</v>
      </c>
      <c r="M13" s="56">
        <v>-93056.0</v>
      </c>
      <c r="N13" s="69">
        <v>-58685.0</v>
      </c>
      <c r="O13" s="59">
        <v>-151681.0</v>
      </c>
      <c r="P13" s="59">
        <v>-64921.0</v>
      </c>
      <c r="Q13" s="59">
        <v>-78390.0</v>
      </c>
      <c r="R13" s="59">
        <v>-143311.0</v>
      </c>
      <c r="S13" s="59">
        <v>-84804.0</v>
      </c>
      <c r="T13" s="59">
        <v>-228115.0</v>
      </c>
      <c r="U13" s="59">
        <v>-87800.0</v>
      </c>
      <c r="V13" s="59">
        <v>-315915.0</v>
      </c>
      <c r="W13" s="59">
        <v>-71222.0</v>
      </c>
      <c r="X13" s="61">
        <v>-71939.0</v>
      </c>
      <c r="Y13" s="61">
        <v>-143161.0</v>
      </c>
      <c r="Z13" s="61">
        <v>-64807.0</v>
      </c>
      <c r="AA13" s="61">
        <v>-207968.0</v>
      </c>
      <c r="AB13" s="61">
        <v>-82531.0</v>
      </c>
      <c r="AC13" s="61">
        <f t="shared" si="7"/>
        <v>-290499</v>
      </c>
      <c r="AD13" s="61">
        <v>-68112.0</v>
      </c>
      <c r="AE13" s="72">
        <v>-69119.0</v>
      </c>
      <c r="AF13" s="61">
        <f t="shared" si="3"/>
        <v>-137231</v>
      </c>
      <c r="AG13" s="72">
        <v>-78483.0</v>
      </c>
      <c r="AH13" s="72">
        <f t="shared" si="8"/>
        <v>-215714</v>
      </c>
    </row>
    <row r="14" ht="12.0" customHeight="1">
      <c r="A14" s="4"/>
      <c r="B14" s="68" t="s">
        <v>92</v>
      </c>
      <c r="C14" s="56">
        <f>-12093+2728</f>
        <v>-9365</v>
      </c>
      <c r="D14" s="56">
        <f>-1962+1638.4</f>
        <v>-323.6</v>
      </c>
      <c r="E14" s="56">
        <v>-91.0</v>
      </c>
      <c r="F14" s="56">
        <v>-421.0</v>
      </c>
      <c r="G14" s="56">
        <v>-538.0</v>
      </c>
      <c r="H14" s="56">
        <f>-3462+2503</f>
        <v>-959</v>
      </c>
      <c r="I14" s="56">
        <v>1590.0</v>
      </c>
      <c r="J14" s="56">
        <v>-184.0</v>
      </c>
      <c r="K14" s="56">
        <f>-4+1410</f>
        <v>1406</v>
      </c>
      <c r="L14" s="56">
        <v>-25309.0</v>
      </c>
      <c r="M14" s="56">
        <v>-23866.0</v>
      </c>
      <c r="N14" s="69">
        <v>1716.0</v>
      </c>
      <c r="O14" s="59">
        <v>-22210.0</v>
      </c>
      <c r="P14" s="59">
        <v>-515.0</v>
      </c>
      <c r="Q14" s="59">
        <v>-3969.0</v>
      </c>
      <c r="R14" s="59">
        <v>-4484.0</v>
      </c>
      <c r="S14" s="59">
        <v>-3008.0</v>
      </c>
      <c r="T14" s="59">
        <v>-7492.0</v>
      </c>
      <c r="U14" s="59">
        <v>-966.0</v>
      </c>
      <c r="V14" s="59">
        <v>-8458.0</v>
      </c>
      <c r="W14" s="59">
        <v>324.0</v>
      </c>
      <c r="X14" s="61">
        <v>-1662.0</v>
      </c>
      <c r="Y14" s="61">
        <v>-1337.0</v>
      </c>
      <c r="Z14" s="61">
        <v>-836.0</v>
      </c>
      <c r="AA14" s="61">
        <v>2025.0</v>
      </c>
      <c r="AB14" s="61">
        <v>3425.0</v>
      </c>
      <c r="AC14" s="61">
        <f t="shared" si="7"/>
        <v>5450</v>
      </c>
      <c r="AD14" s="61">
        <v>160.0</v>
      </c>
      <c r="AE14" s="72">
        <v>434.0</v>
      </c>
      <c r="AF14" s="61">
        <f t="shared" si="3"/>
        <v>594</v>
      </c>
      <c r="AG14" s="72">
        <v>512.0</v>
      </c>
      <c r="AH14" s="72">
        <f t="shared" si="8"/>
        <v>1106</v>
      </c>
    </row>
    <row r="15" ht="12.0" customHeight="1">
      <c r="A15" s="4"/>
      <c r="B15" s="4" t="s">
        <v>93</v>
      </c>
      <c r="C15" s="62">
        <v>-1091.0</v>
      </c>
      <c r="D15" s="62">
        <v>-366.0</v>
      </c>
      <c r="E15" s="62">
        <v>361.0</v>
      </c>
      <c r="F15" s="62">
        <v>-5.0</v>
      </c>
      <c r="G15" s="62">
        <v>-191.0</v>
      </c>
      <c r="H15" s="62">
        <v>-196.0</v>
      </c>
      <c r="I15" s="62">
        <v>-3258.0</v>
      </c>
      <c r="J15" s="62">
        <v>2891.0</v>
      </c>
      <c r="K15" s="62">
        <v>-367.0</v>
      </c>
      <c r="L15" s="62">
        <v>-1662.0</v>
      </c>
      <c r="M15" s="62">
        <v>-2030.0</v>
      </c>
      <c r="N15" s="73">
        <v>1533.0</v>
      </c>
      <c r="O15" s="63">
        <v>-497.0</v>
      </c>
      <c r="P15" s="63">
        <v>-1066.0</v>
      </c>
      <c r="Q15" s="63">
        <v>356.0</v>
      </c>
      <c r="R15" s="63">
        <v>-710.0</v>
      </c>
      <c r="S15" s="63">
        <v>325.0</v>
      </c>
      <c r="T15" s="63">
        <v>-385.0</v>
      </c>
      <c r="U15" s="64">
        <v>56.0</v>
      </c>
      <c r="V15" s="63">
        <v>-329.0</v>
      </c>
      <c r="W15" s="63">
        <v>-1605.0</v>
      </c>
      <c r="X15" s="64">
        <v>-132.0</v>
      </c>
      <c r="Y15" s="61">
        <v>-1737.0</v>
      </c>
      <c r="Z15" s="61">
        <v>3363.0</v>
      </c>
      <c r="AA15" s="61">
        <v>-2573.0</v>
      </c>
      <c r="AB15" s="61">
        <v>1017.0</v>
      </c>
      <c r="AC15" s="61">
        <f t="shared" si="7"/>
        <v>-1556</v>
      </c>
      <c r="AD15" s="61">
        <v>-1787.0</v>
      </c>
      <c r="AE15" s="72">
        <v>-797.0</v>
      </c>
      <c r="AF15" s="61">
        <f t="shared" si="3"/>
        <v>-2584</v>
      </c>
      <c r="AG15" s="72">
        <v>-5248.0</v>
      </c>
      <c r="AH15" s="72">
        <f t="shared" si="8"/>
        <v>-7832</v>
      </c>
    </row>
    <row r="16" ht="12.0" customHeight="1">
      <c r="A16" s="4"/>
      <c r="B16" s="3" t="s">
        <v>94</v>
      </c>
      <c r="C16" s="50">
        <f t="shared" ref="C16:AE16" si="9">SUM(C10:C11)+C15</f>
        <v>91699</v>
      </c>
      <c r="D16" s="50">
        <f t="shared" si="9"/>
        <v>100765.8</v>
      </c>
      <c r="E16" s="50">
        <f t="shared" si="9"/>
        <v>57815</v>
      </c>
      <c r="F16" s="50">
        <f t="shared" si="9"/>
        <v>158576</v>
      </c>
      <c r="G16" s="50">
        <f t="shared" si="9"/>
        <v>49668</v>
      </c>
      <c r="H16" s="50">
        <f t="shared" si="9"/>
        <v>208244</v>
      </c>
      <c r="I16" s="50">
        <f t="shared" si="9"/>
        <v>61547</v>
      </c>
      <c r="J16" s="50">
        <f t="shared" si="9"/>
        <v>65134</v>
      </c>
      <c r="K16" s="50">
        <f t="shared" si="9"/>
        <v>126681</v>
      </c>
      <c r="L16" s="50">
        <f t="shared" si="9"/>
        <v>39065</v>
      </c>
      <c r="M16" s="50">
        <f t="shared" si="9"/>
        <v>165746</v>
      </c>
      <c r="N16" s="74">
        <f t="shared" si="9"/>
        <v>78860</v>
      </c>
      <c r="O16" s="50">
        <f t="shared" si="9"/>
        <v>244606</v>
      </c>
      <c r="P16" s="50">
        <f t="shared" si="9"/>
        <v>61249</v>
      </c>
      <c r="Q16" s="50">
        <f t="shared" si="9"/>
        <v>61548</v>
      </c>
      <c r="R16" s="50">
        <f t="shared" si="9"/>
        <v>122797</v>
      </c>
      <c r="S16" s="50">
        <f t="shared" si="9"/>
        <v>64577</v>
      </c>
      <c r="T16" s="50">
        <f t="shared" si="9"/>
        <v>187374</v>
      </c>
      <c r="U16" s="50">
        <f t="shared" si="9"/>
        <v>86544</v>
      </c>
      <c r="V16" s="50">
        <f t="shared" si="9"/>
        <v>273918</v>
      </c>
      <c r="W16" s="50">
        <f t="shared" si="9"/>
        <v>84073</v>
      </c>
      <c r="X16" s="66">
        <f t="shared" si="9"/>
        <v>77619</v>
      </c>
      <c r="Y16" s="66">
        <f t="shared" si="9"/>
        <v>161694</v>
      </c>
      <c r="Z16" s="66">
        <f t="shared" si="9"/>
        <v>69619</v>
      </c>
      <c r="AA16" s="66">
        <f t="shared" si="9"/>
        <v>231312</v>
      </c>
      <c r="AB16" s="66">
        <f t="shared" si="9"/>
        <v>54165</v>
      </c>
      <c r="AC16" s="66">
        <f t="shared" si="9"/>
        <v>285476</v>
      </c>
      <c r="AD16" s="66">
        <f t="shared" si="9"/>
        <v>51572</v>
      </c>
      <c r="AE16" s="66">
        <f t="shared" si="9"/>
        <v>77006</v>
      </c>
      <c r="AF16" s="66">
        <f t="shared" si="3"/>
        <v>128578</v>
      </c>
      <c r="AG16" s="66">
        <f t="shared" ref="AG16:AH16" si="10">SUM(AG10:AG11)+AG15</f>
        <v>78281</v>
      </c>
      <c r="AH16" s="66">
        <f t="shared" si="10"/>
        <v>206859</v>
      </c>
    </row>
    <row r="17" ht="12.0" customHeight="1">
      <c r="A17" s="4"/>
      <c r="B17" s="54" t="s">
        <v>95</v>
      </c>
      <c r="C17" s="62">
        <v>23944.0</v>
      </c>
      <c r="D17" s="62">
        <v>18799.4</v>
      </c>
      <c r="E17" s="62">
        <v>14045.0</v>
      </c>
      <c r="F17" s="62">
        <v>32851.0</v>
      </c>
      <c r="G17" s="62">
        <v>14957.0</v>
      </c>
      <c r="H17" s="62">
        <v>47808.0</v>
      </c>
      <c r="I17" s="62">
        <v>9049.0</v>
      </c>
      <c r="J17" s="62">
        <v>16379.0</v>
      </c>
      <c r="K17" s="62">
        <v>25428.0</v>
      </c>
      <c r="L17" s="62">
        <v>17591.0</v>
      </c>
      <c r="M17" s="62">
        <v>43421.0</v>
      </c>
      <c r="N17" s="75">
        <v>26395.0</v>
      </c>
      <c r="O17" s="63">
        <v>69816.0</v>
      </c>
      <c r="P17" s="63">
        <v>69582.0</v>
      </c>
      <c r="Q17" s="63">
        <v>53306.0</v>
      </c>
      <c r="R17" s="63">
        <v>122888.0</v>
      </c>
      <c r="S17" s="63">
        <v>32750.0</v>
      </c>
      <c r="T17" s="63">
        <v>155638.0</v>
      </c>
      <c r="U17" s="64">
        <v>17358.0</v>
      </c>
      <c r="V17" s="64">
        <v>172996.0</v>
      </c>
      <c r="W17" s="64">
        <v>20664.0</v>
      </c>
      <c r="X17" s="64">
        <v>28217.0</v>
      </c>
      <c r="Y17" s="64">
        <v>48881.0</v>
      </c>
      <c r="Z17" s="64">
        <v>13506.0</v>
      </c>
      <c r="AA17" s="64">
        <v>62387.0</v>
      </c>
      <c r="AB17" s="64">
        <v>12858.0</v>
      </c>
      <c r="AC17" s="64">
        <f t="shared" ref="AC17:AC18" si="11">SUM(AA17:AB17)</f>
        <v>75245</v>
      </c>
      <c r="AD17" s="64">
        <v>10703.0</v>
      </c>
      <c r="AE17" s="65">
        <v>23542.0</v>
      </c>
      <c r="AF17" s="64">
        <f t="shared" si="3"/>
        <v>34245</v>
      </c>
      <c r="AG17" s="65">
        <v>21821.0</v>
      </c>
      <c r="AH17" s="65">
        <f t="shared" ref="AH17:AH18" si="12">SUM(AF17:AG17)</f>
        <v>56066</v>
      </c>
    </row>
    <row r="18" ht="12.0" customHeight="1">
      <c r="A18" s="4"/>
      <c r="B18" s="54" t="s">
        <v>96</v>
      </c>
      <c r="C18" s="62">
        <v>-29855.0</v>
      </c>
      <c r="D18" s="62">
        <v>-30951.0</v>
      </c>
      <c r="E18" s="62">
        <v>-15936.0</v>
      </c>
      <c r="F18" s="62">
        <v>-46887.0</v>
      </c>
      <c r="G18" s="62">
        <v>-16374.0</v>
      </c>
      <c r="H18" s="62">
        <v>-63261.0</v>
      </c>
      <c r="I18" s="62">
        <v>-10746.0</v>
      </c>
      <c r="J18" s="62">
        <v>-18368.0</v>
      </c>
      <c r="K18" s="62">
        <v>-29114.0</v>
      </c>
      <c r="L18" s="62">
        <v>-40007.0</v>
      </c>
      <c r="M18" s="62">
        <v>-69523.0</v>
      </c>
      <c r="N18" s="75">
        <v>-34525.0</v>
      </c>
      <c r="O18" s="63">
        <v>-104048.0</v>
      </c>
      <c r="P18" s="63">
        <v>-86294.0</v>
      </c>
      <c r="Q18" s="63">
        <v>-70839.0</v>
      </c>
      <c r="R18" s="63">
        <v>-157133.0</v>
      </c>
      <c r="S18" s="63">
        <v>-40182.0</v>
      </c>
      <c r="T18" s="63">
        <v>-197315.0</v>
      </c>
      <c r="U18" s="63">
        <v>-49327.0</v>
      </c>
      <c r="V18" s="63">
        <v>-246642.0</v>
      </c>
      <c r="W18" s="63">
        <v>-40632.0</v>
      </c>
      <c r="X18" s="64">
        <v>-46699.0</v>
      </c>
      <c r="Y18" s="64">
        <v>-87332.0</v>
      </c>
      <c r="Z18" s="64">
        <v>-33799.0</v>
      </c>
      <c r="AA18" s="64">
        <v>-121130.0</v>
      </c>
      <c r="AB18" s="64">
        <v>-30296.0</v>
      </c>
      <c r="AC18" s="64">
        <f t="shared" si="11"/>
        <v>-151426</v>
      </c>
      <c r="AD18" s="64">
        <v>-23056.0</v>
      </c>
      <c r="AE18" s="65">
        <v>-35155.0</v>
      </c>
      <c r="AF18" s="64">
        <f t="shared" si="3"/>
        <v>-58211</v>
      </c>
      <c r="AG18" s="65">
        <v>-42376.0</v>
      </c>
      <c r="AH18" s="65">
        <f t="shared" si="12"/>
        <v>-100587</v>
      </c>
    </row>
    <row r="19" ht="12.0" customHeight="1">
      <c r="A19" s="4"/>
      <c r="B19" s="4" t="s">
        <v>97</v>
      </c>
      <c r="C19" s="62">
        <f t="shared" ref="C19:E19" si="13">SUM(C17:C18)</f>
        <v>-5911</v>
      </c>
      <c r="D19" s="62">
        <f t="shared" si="13"/>
        <v>-12151.6</v>
      </c>
      <c r="E19" s="62">
        <f t="shared" si="13"/>
        <v>-1891</v>
      </c>
      <c r="F19" s="62">
        <f t="shared" ref="F19:G19" si="14">F17+F18</f>
        <v>-14036</v>
      </c>
      <c r="G19" s="62">
        <f t="shared" si="14"/>
        <v>-1417</v>
      </c>
      <c r="H19" s="62">
        <f t="shared" ref="H19:M19" si="15">SUM(H17:H18)</f>
        <v>-15453</v>
      </c>
      <c r="I19" s="62">
        <f t="shared" si="15"/>
        <v>-1697</v>
      </c>
      <c r="J19" s="62">
        <f t="shared" si="15"/>
        <v>-1989</v>
      </c>
      <c r="K19" s="62">
        <f t="shared" si="15"/>
        <v>-3686</v>
      </c>
      <c r="L19" s="62">
        <f t="shared" si="15"/>
        <v>-22416</v>
      </c>
      <c r="M19" s="62">
        <f t="shared" si="15"/>
        <v>-26102</v>
      </c>
      <c r="N19" s="75">
        <f t="shared" ref="N19:AE19" si="16">N17+N18</f>
        <v>-8130</v>
      </c>
      <c r="O19" s="62">
        <f t="shared" si="16"/>
        <v>-34232</v>
      </c>
      <c r="P19" s="62">
        <f t="shared" si="16"/>
        <v>-16712</v>
      </c>
      <c r="Q19" s="62">
        <f t="shared" si="16"/>
        <v>-17533</v>
      </c>
      <c r="R19" s="62">
        <f t="shared" si="16"/>
        <v>-34245</v>
      </c>
      <c r="S19" s="62">
        <f t="shared" si="16"/>
        <v>-7432</v>
      </c>
      <c r="T19" s="62">
        <f t="shared" si="16"/>
        <v>-41677</v>
      </c>
      <c r="U19" s="62">
        <f t="shared" si="16"/>
        <v>-31969</v>
      </c>
      <c r="V19" s="62">
        <f t="shared" si="16"/>
        <v>-73646</v>
      </c>
      <c r="W19" s="62">
        <f t="shared" si="16"/>
        <v>-19968</v>
      </c>
      <c r="X19" s="67">
        <f t="shared" si="16"/>
        <v>-18482</v>
      </c>
      <c r="Y19" s="67">
        <f t="shared" si="16"/>
        <v>-38451</v>
      </c>
      <c r="Z19" s="67">
        <f t="shared" si="16"/>
        <v>-20293</v>
      </c>
      <c r="AA19" s="67">
        <f t="shared" si="16"/>
        <v>-58743</v>
      </c>
      <c r="AB19" s="67">
        <f t="shared" si="16"/>
        <v>-17438</v>
      </c>
      <c r="AC19" s="67">
        <f t="shared" si="16"/>
        <v>-76181</v>
      </c>
      <c r="AD19" s="67">
        <f t="shared" si="16"/>
        <v>-12353</v>
      </c>
      <c r="AE19" s="67">
        <f t="shared" si="16"/>
        <v>-11613</v>
      </c>
      <c r="AF19" s="67">
        <f t="shared" si="3"/>
        <v>-23966</v>
      </c>
      <c r="AG19" s="67">
        <f t="shared" ref="AG19:AH19" si="17">AG17+AG18</f>
        <v>-20555</v>
      </c>
      <c r="AH19" s="67">
        <f t="shared" si="17"/>
        <v>-44521</v>
      </c>
    </row>
    <row r="20" ht="12.0" customHeight="1">
      <c r="A20" s="4"/>
      <c r="B20" s="3" t="s">
        <v>98</v>
      </c>
      <c r="C20" s="50">
        <f>C19+C16</f>
        <v>85788</v>
      </c>
      <c r="D20" s="50">
        <f>D16+D19</f>
        <v>88614.2</v>
      </c>
      <c r="E20" s="50">
        <f t="shared" ref="E20:J20" si="18">E19+E16</f>
        <v>55924</v>
      </c>
      <c r="F20" s="50">
        <f t="shared" si="18"/>
        <v>144540</v>
      </c>
      <c r="G20" s="50">
        <f t="shared" si="18"/>
        <v>48251</v>
      </c>
      <c r="H20" s="50">
        <f t="shared" si="18"/>
        <v>192791</v>
      </c>
      <c r="I20" s="50">
        <f t="shared" si="18"/>
        <v>59850</v>
      </c>
      <c r="J20" s="50">
        <f t="shared" si="18"/>
        <v>63145</v>
      </c>
      <c r="K20" s="50">
        <f t="shared" ref="K20:L20" si="19">K16+K19</f>
        <v>122995</v>
      </c>
      <c r="L20" s="50">
        <f t="shared" si="19"/>
        <v>16649</v>
      </c>
      <c r="M20" s="50">
        <f t="shared" ref="M20:M22" si="22">K20+L20</f>
        <v>139644</v>
      </c>
      <c r="N20" s="50">
        <f t="shared" ref="N20:AE20" si="20">N19+N16</f>
        <v>70730</v>
      </c>
      <c r="O20" s="50">
        <f t="shared" si="20"/>
        <v>210374</v>
      </c>
      <c r="P20" s="50">
        <f t="shared" si="20"/>
        <v>44537</v>
      </c>
      <c r="Q20" s="50">
        <f t="shared" si="20"/>
        <v>44015</v>
      </c>
      <c r="R20" s="50">
        <f t="shared" si="20"/>
        <v>88552</v>
      </c>
      <c r="S20" s="50">
        <f t="shared" si="20"/>
        <v>57145</v>
      </c>
      <c r="T20" s="50">
        <f t="shared" si="20"/>
        <v>145697</v>
      </c>
      <c r="U20" s="50">
        <f t="shared" si="20"/>
        <v>54575</v>
      </c>
      <c r="V20" s="50">
        <f t="shared" si="20"/>
        <v>200272</v>
      </c>
      <c r="W20" s="50">
        <f t="shared" si="20"/>
        <v>64105</v>
      </c>
      <c r="X20" s="66">
        <f t="shared" si="20"/>
        <v>59137</v>
      </c>
      <c r="Y20" s="66">
        <f t="shared" si="20"/>
        <v>123243</v>
      </c>
      <c r="Z20" s="66">
        <f t="shared" si="20"/>
        <v>49326</v>
      </c>
      <c r="AA20" s="66">
        <f t="shared" si="20"/>
        <v>172569</v>
      </c>
      <c r="AB20" s="66">
        <f t="shared" si="20"/>
        <v>36727</v>
      </c>
      <c r="AC20" s="66">
        <f t="shared" si="20"/>
        <v>209295</v>
      </c>
      <c r="AD20" s="66">
        <f t="shared" si="20"/>
        <v>39219</v>
      </c>
      <c r="AE20" s="66">
        <f t="shared" si="20"/>
        <v>65393</v>
      </c>
      <c r="AF20" s="66">
        <f t="shared" si="3"/>
        <v>104612</v>
      </c>
      <c r="AG20" s="66">
        <f t="shared" ref="AG20:AH20" si="21">AG19+AG16</f>
        <v>57726</v>
      </c>
      <c r="AH20" s="66">
        <f t="shared" si="21"/>
        <v>162338</v>
      </c>
    </row>
    <row r="21" ht="12.0" customHeight="1">
      <c r="A21" s="4"/>
      <c r="B21" s="4" t="s">
        <v>99</v>
      </c>
      <c r="C21" s="62">
        <v>-29219.0</v>
      </c>
      <c r="D21" s="62">
        <v>-29901.0</v>
      </c>
      <c r="E21" s="62">
        <v>-16386.0</v>
      </c>
      <c r="F21" s="62">
        <v>-46287.0</v>
      </c>
      <c r="G21" s="62">
        <v>-18850.0</v>
      </c>
      <c r="H21" s="62">
        <v>-65137.0</v>
      </c>
      <c r="I21" s="62">
        <v>-20235.0</v>
      </c>
      <c r="J21" s="62">
        <v>-18423.0</v>
      </c>
      <c r="K21" s="62">
        <v>-38658.0</v>
      </c>
      <c r="L21" s="62">
        <v>-18857.0</v>
      </c>
      <c r="M21" s="62">
        <f t="shared" si="22"/>
        <v>-57515</v>
      </c>
      <c r="N21" s="63">
        <v>-26902.0</v>
      </c>
      <c r="O21" s="63">
        <v>-84417.0</v>
      </c>
      <c r="P21" s="63">
        <v>-15314.0</v>
      </c>
      <c r="Q21" s="63">
        <v>-18016.0</v>
      </c>
      <c r="R21" s="63">
        <v>-33330.0</v>
      </c>
      <c r="S21" s="63">
        <v>-16537.0</v>
      </c>
      <c r="T21" s="63">
        <v>-49867.0</v>
      </c>
      <c r="U21" s="63">
        <f>-25077+588</f>
        <v>-24489</v>
      </c>
      <c r="V21" s="63">
        <v>-104562.0</v>
      </c>
      <c r="W21" s="64">
        <f>-11723-8748</f>
        <v>-20471</v>
      </c>
      <c r="X21" s="64">
        <f>-11298-8871</f>
        <v>-20169</v>
      </c>
      <c r="Y21" s="64">
        <f>SUM(W21:X21)</f>
        <v>-40640</v>
      </c>
      <c r="Z21" s="64">
        <f>-13165-9114</f>
        <v>-22279</v>
      </c>
      <c r="AA21" s="64">
        <f>SUM(Y21:Z21)</f>
        <v>-62919</v>
      </c>
      <c r="AB21" s="64">
        <v>-13803.0</v>
      </c>
      <c r="AC21" s="64">
        <v>-76722.0</v>
      </c>
      <c r="AD21" s="64">
        <v>-16810.0</v>
      </c>
      <c r="AE21" s="65">
        <v>-16885.0</v>
      </c>
      <c r="AF21" s="64">
        <f t="shared" si="3"/>
        <v>-33695</v>
      </c>
      <c r="AG21" s="65">
        <v>-29153.0</v>
      </c>
      <c r="AH21" s="65">
        <f>SUM(AF21:AG21)</f>
        <v>-62848</v>
      </c>
    </row>
    <row r="22" ht="12.0" customHeight="1">
      <c r="A22" s="4"/>
      <c r="B22" s="3" t="s">
        <v>100</v>
      </c>
      <c r="C22" s="50">
        <f t="shared" ref="C22:L22" si="23">SUM(C20:C21)</f>
        <v>56569</v>
      </c>
      <c r="D22" s="50">
        <f t="shared" si="23"/>
        <v>58713.2</v>
      </c>
      <c r="E22" s="50">
        <f t="shared" si="23"/>
        <v>39538</v>
      </c>
      <c r="F22" s="50">
        <f t="shared" si="23"/>
        <v>98253</v>
      </c>
      <c r="G22" s="50">
        <f t="shared" si="23"/>
        <v>29401</v>
      </c>
      <c r="H22" s="50">
        <f t="shared" si="23"/>
        <v>127654</v>
      </c>
      <c r="I22" s="50">
        <f t="shared" si="23"/>
        <v>39615</v>
      </c>
      <c r="J22" s="50">
        <f t="shared" si="23"/>
        <v>44722</v>
      </c>
      <c r="K22" s="50">
        <f t="shared" si="23"/>
        <v>84337</v>
      </c>
      <c r="L22" s="50">
        <f t="shared" si="23"/>
        <v>-2208</v>
      </c>
      <c r="M22" s="50">
        <f t="shared" si="22"/>
        <v>82129</v>
      </c>
      <c r="N22" s="50">
        <f t="shared" ref="N22:AE22" si="24">SUM(N20:N21)</f>
        <v>43828</v>
      </c>
      <c r="O22" s="50">
        <f t="shared" si="24"/>
        <v>125957</v>
      </c>
      <c r="P22" s="50">
        <f t="shared" si="24"/>
        <v>29223</v>
      </c>
      <c r="Q22" s="50">
        <f t="shared" si="24"/>
        <v>25999</v>
      </c>
      <c r="R22" s="50">
        <f t="shared" si="24"/>
        <v>55222</v>
      </c>
      <c r="S22" s="50">
        <f t="shared" si="24"/>
        <v>40608</v>
      </c>
      <c r="T22" s="50">
        <f t="shared" si="24"/>
        <v>95830</v>
      </c>
      <c r="U22" s="50">
        <f t="shared" si="24"/>
        <v>30086</v>
      </c>
      <c r="V22" s="50">
        <f t="shared" si="24"/>
        <v>95710</v>
      </c>
      <c r="W22" s="50">
        <f t="shared" si="24"/>
        <v>43634</v>
      </c>
      <c r="X22" s="66">
        <f t="shared" si="24"/>
        <v>38968</v>
      </c>
      <c r="Y22" s="66">
        <f t="shared" si="24"/>
        <v>82603</v>
      </c>
      <c r="Z22" s="66">
        <f t="shared" si="24"/>
        <v>27047</v>
      </c>
      <c r="AA22" s="66">
        <f t="shared" si="24"/>
        <v>109650</v>
      </c>
      <c r="AB22" s="66">
        <f t="shared" si="24"/>
        <v>22924</v>
      </c>
      <c r="AC22" s="66">
        <f t="shared" si="24"/>
        <v>132573</v>
      </c>
      <c r="AD22" s="66">
        <f t="shared" si="24"/>
        <v>22409</v>
      </c>
      <c r="AE22" s="66">
        <f t="shared" si="24"/>
        <v>48508</v>
      </c>
      <c r="AF22" s="66">
        <f t="shared" si="3"/>
        <v>70917</v>
      </c>
      <c r="AG22" s="66">
        <f t="shared" ref="AG22:AH22" si="25">SUM(AG20:AG21)</f>
        <v>28573</v>
      </c>
      <c r="AH22" s="66">
        <f t="shared" si="25"/>
        <v>99490</v>
      </c>
    </row>
    <row r="23" ht="12.0" customHeight="1">
      <c r="A23" s="4"/>
      <c r="B23" s="4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49"/>
      <c r="P23" s="49"/>
      <c r="Q23" s="49"/>
      <c r="R23" s="49"/>
      <c r="S23" s="49"/>
      <c r="T23" s="49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</row>
    <row r="24" ht="12.0" customHeight="1">
      <c r="A24" s="76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</row>
    <row r="25" ht="12.0" customHeight="1">
      <c r="A25" s="4"/>
      <c r="B25" s="3" t="s">
        <v>101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49"/>
      <c r="P25" s="49"/>
      <c r="Q25" s="49"/>
      <c r="R25" s="49"/>
      <c r="S25" s="49"/>
      <c r="T25" s="49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</row>
    <row r="26" ht="12.0" customHeight="1">
      <c r="A26" s="4"/>
      <c r="B26" s="4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49"/>
      <c r="P26" s="49"/>
      <c r="Q26" s="49"/>
      <c r="R26" s="49"/>
      <c r="S26" s="49"/>
      <c r="T26" s="49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</row>
    <row r="27" ht="12.0" customHeight="1">
      <c r="A27" s="4"/>
      <c r="B27" s="31" t="s">
        <v>102</v>
      </c>
      <c r="C27" s="79"/>
      <c r="D27" s="79"/>
      <c r="E27" s="79"/>
      <c r="F27" s="80"/>
      <c r="G27" s="79"/>
      <c r="H27" s="79"/>
      <c r="I27" s="79"/>
      <c r="J27" s="79"/>
      <c r="K27" s="79"/>
      <c r="L27" s="79"/>
      <c r="M27" s="80"/>
      <c r="N27" s="81"/>
      <c r="O27" s="81"/>
      <c r="P27" s="81"/>
      <c r="Q27" s="81"/>
      <c r="R27" s="81"/>
      <c r="S27" s="81"/>
      <c r="T27" s="81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</row>
    <row r="28" ht="12.0" customHeight="1">
      <c r="A28" s="4"/>
      <c r="B28" s="36" t="s">
        <v>84</v>
      </c>
      <c r="C28" s="79">
        <f t="shared" ref="C28:AH28" si="26">C6</f>
        <v>677133</v>
      </c>
      <c r="D28" s="79">
        <f t="shared" si="26"/>
        <v>448254.4</v>
      </c>
      <c r="E28" s="79">
        <f t="shared" si="26"/>
        <v>242897</v>
      </c>
      <c r="F28" s="79">
        <f t="shared" si="26"/>
        <v>691152</v>
      </c>
      <c r="G28" s="79">
        <f t="shared" si="26"/>
        <v>265367</v>
      </c>
      <c r="H28" s="79">
        <f t="shared" si="26"/>
        <v>956519</v>
      </c>
      <c r="I28" s="79">
        <f t="shared" si="26"/>
        <v>296292</v>
      </c>
      <c r="J28" s="79">
        <f t="shared" si="26"/>
        <v>315324</v>
      </c>
      <c r="K28" s="79">
        <f t="shared" si="26"/>
        <v>611616</v>
      </c>
      <c r="L28" s="79">
        <f t="shared" si="26"/>
        <v>375970</v>
      </c>
      <c r="M28" s="79">
        <f t="shared" si="26"/>
        <v>987586</v>
      </c>
      <c r="N28" s="79">
        <f t="shared" si="26"/>
        <v>456794</v>
      </c>
      <c r="O28" s="79">
        <f t="shared" si="26"/>
        <v>1444380</v>
      </c>
      <c r="P28" s="79">
        <f t="shared" si="26"/>
        <v>491872</v>
      </c>
      <c r="Q28" s="79">
        <f t="shared" si="26"/>
        <v>525015</v>
      </c>
      <c r="R28" s="79">
        <f t="shared" si="26"/>
        <v>1016887</v>
      </c>
      <c r="S28" s="79">
        <f t="shared" si="26"/>
        <v>559018</v>
      </c>
      <c r="T28" s="79">
        <f t="shared" si="26"/>
        <v>1575905</v>
      </c>
      <c r="U28" s="79">
        <f t="shared" si="26"/>
        <v>611805</v>
      </c>
      <c r="V28" s="79">
        <f t="shared" si="26"/>
        <v>2187710</v>
      </c>
      <c r="W28" s="79">
        <f t="shared" si="26"/>
        <v>609991</v>
      </c>
      <c r="X28" s="82">
        <f t="shared" si="26"/>
        <v>571832</v>
      </c>
      <c r="Y28" s="82">
        <f t="shared" si="26"/>
        <v>1181824</v>
      </c>
      <c r="Z28" s="82">
        <f t="shared" si="26"/>
        <v>529083</v>
      </c>
      <c r="AA28" s="82">
        <f t="shared" si="26"/>
        <v>1710907</v>
      </c>
      <c r="AB28" s="82">
        <f t="shared" si="26"/>
        <v>522560</v>
      </c>
      <c r="AC28" s="82">
        <f t="shared" si="26"/>
        <v>2233466</v>
      </c>
      <c r="AD28" s="82">
        <f t="shared" si="26"/>
        <v>523509</v>
      </c>
      <c r="AE28" s="82">
        <f t="shared" si="26"/>
        <v>565652</v>
      </c>
      <c r="AF28" s="82">
        <f t="shared" si="26"/>
        <v>1089161</v>
      </c>
      <c r="AG28" s="82">
        <f t="shared" si="26"/>
        <v>622160</v>
      </c>
      <c r="AH28" s="82">
        <f t="shared" si="26"/>
        <v>1711321</v>
      </c>
    </row>
    <row r="29" ht="12.0" customHeight="1">
      <c r="A29" s="4"/>
      <c r="B29" s="36" t="s">
        <v>103</v>
      </c>
      <c r="C29" s="79">
        <f t="shared" ref="C29:AH29" si="27">C10</f>
        <v>228154</v>
      </c>
      <c r="D29" s="79">
        <f t="shared" si="27"/>
        <v>163997.4</v>
      </c>
      <c r="E29" s="79">
        <f t="shared" si="27"/>
        <v>92582</v>
      </c>
      <c r="F29" s="79">
        <f t="shared" si="27"/>
        <v>256580</v>
      </c>
      <c r="G29" s="79">
        <f t="shared" si="27"/>
        <v>99073</v>
      </c>
      <c r="H29" s="79">
        <f t="shared" si="27"/>
        <v>355653</v>
      </c>
      <c r="I29" s="79">
        <f t="shared" si="27"/>
        <v>107920</v>
      </c>
      <c r="J29" s="79">
        <f t="shared" si="27"/>
        <v>109556</v>
      </c>
      <c r="K29" s="79">
        <f t="shared" si="27"/>
        <v>217476</v>
      </c>
      <c r="L29" s="79">
        <f t="shared" si="27"/>
        <v>129124</v>
      </c>
      <c r="M29" s="79">
        <f t="shared" si="27"/>
        <v>346600</v>
      </c>
      <c r="N29" s="79">
        <f t="shared" si="27"/>
        <v>162048</v>
      </c>
      <c r="O29" s="79">
        <f t="shared" si="27"/>
        <v>508648</v>
      </c>
      <c r="P29" s="79">
        <f t="shared" si="27"/>
        <v>162880</v>
      </c>
      <c r="Q29" s="79">
        <f t="shared" si="27"/>
        <v>183513</v>
      </c>
      <c r="R29" s="79">
        <f t="shared" si="27"/>
        <v>346393</v>
      </c>
      <c r="S29" s="79">
        <f t="shared" si="27"/>
        <v>195401</v>
      </c>
      <c r="T29" s="79">
        <f t="shared" si="27"/>
        <v>541794</v>
      </c>
      <c r="U29" s="79">
        <f t="shared" si="27"/>
        <v>220697</v>
      </c>
      <c r="V29" s="79">
        <f t="shared" si="27"/>
        <v>762491</v>
      </c>
      <c r="W29" s="79">
        <f t="shared" si="27"/>
        <v>202130</v>
      </c>
      <c r="X29" s="82">
        <f t="shared" si="27"/>
        <v>197636</v>
      </c>
      <c r="Y29" s="82">
        <f t="shared" si="27"/>
        <v>399767</v>
      </c>
      <c r="Z29" s="82">
        <f t="shared" si="27"/>
        <v>172304</v>
      </c>
      <c r="AA29" s="82">
        <f t="shared" si="27"/>
        <v>572071</v>
      </c>
      <c r="AB29" s="82">
        <f t="shared" si="27"/>
        <v>173654</v>
      </c>
      <c r="AC29" s="82">
        <f t="shared" si="27"/>
        <v>745724</v>
      </c>
      <c r="AD29" s="82">
        <f t="shared" si="27"/>
        <v>167561</v>
      </c>
      <c r="AE29" s="82">
        <f t="shared" si="27"/>
        <v>195978</v>
      </c>
      <c r="AF29" s="82">
        <f t="shared" si="27"/>
        <v>363539</v>
      </c>
      <c r="AG29" s="82">
        <f t="shared" si="27"/>
        <v>215679</v>
      </c>
      <c r="AH29" s="82">
        <f t="shared" si="27"/>
        <v>579218</v>
      </c>
    </row>
    <row r="30" ht="12.0" customHeight="1">
      <c r="A30" s="4"/>
      <c r="B30" s="83" t="s">
        <v>104</v>
      </c>
      <c r="C30" s="84"/>
      <c r="D30" s="84"/>
      <c r="E30" s="84"/>
      <c r="F30" s="48"/>
      <c r="G30" s="84"/>
      <c r="H30" s="84"/>
      <c r="I30" s="84"/>
      <c r="J30" s="84"/>
      <c r="K30" s="84"/>
      <c r="L30" s="84"/>
      <c r="M30" s="48"/>
      <c r="N30" s="49"/>
      <c r="O30" s="49"/>
      <c r="P30" s="49"/>
      <c r="Q30" s="49"/>
      <c r="R30" s="49"/>
      <c r="S30" s="49"/>
      <c r="T30" s="49"/>
      <c r="U30" s="49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</row>
    <row r="31" ht="12.0" customHeight="1">
      <c r="A31" s="4"/>
      <c r="B31" s="85" t="s">
        <v>105</v>
      </c>
      <c r="C31" s="79">
        <v>19527.0</v>
      </c>
      <c r="D31" s="79">
        <v>11999.0</v>
      </c>
      <c r="E31" s="86">
        <v>6092.0</v>
      </c>
      <c r="F31" s="86">
        <v>18091.0</v>
      </c>
      <c r="G31" s="79">
        <v>5995.0</v>
      </c>
      <c r="H31" s="79">
        <v>24085.0</v>
      </c>
      <c r="I31" s="79">
        <v>6225.0</v>
      </c>
      <c r="J31" s="79">
        <v>6551.0</v>
      </c>
      <c r="K31" s="79">
        <v>12776.0</v>
      </c>
      <c r="L31" s="86">
        <v>10345.0</v>
      </c>
      <c r="M31" s="86">
        <v>23121.0</v>
      </c>
      <c r="N31" s="86">
        <v>8764.0</v>
      </c>
      <c r="O31" s="86">
        <v>31884.0</v>
      </c>
      <c r="P31" s="86">
        <v>9318.4</v>
      </c>
      <c r="Q31" s="86">
        <v>10295.0</v>
      </c>
      <c r="R31" s="86">
        <v>19613.0</v>
      </c>
      <c r="S31" s="86">
        <v>10688.0</v>
      </c>
      <c r="T31" s="86">
        <v>30301.7</v>
      </c>
      <c r="U31" s="86">
        <v>10667.0</v>
      </c>
      <c r="V31" s="87">
        <v>40968.0</v>
      </c>
      <c r="W31" s="87">
        <v>9410.0</v>
      </c>
      <c r="X31" s="87">
        <v>8722.0</v>
      </c>
      <c r="Y31" s="87">
        <v>18132.0</v>
      </c>
      <c r="Z31" s="87">
        <v>9116.0</v>
      </c>
      <c r="AA31" s="87">
        <v>27248.0</v>
      </c>
      <c r="AB31" s="87">
        <v>8705.0</v>
      </c>
      <c r="AC31" s="87">
        <f t="shared" ref="AC31:AC32" si="28">SUM(AA31:AB31)</f>
        <v>35953</v>
      </c>
      <c r="AD31" s="87">
        <v>8032.0</v>
      </c>
      <c r="AE31" s="88">
        <v>8578.0</v>
      </c>
      <c r="AF31" s="87">
        <f t="shared" ref="AF31:AF32" si="29">SUM(AD31:AE31)</f>
        <v>16610</v>
      </c>
      <c r="AG31" s="88">
        <v>8572.0</v>
      </c>
      <c r="AH31" s="88">
        <f t="shared" ref="AH31:AH32" si="30">SUM(AF31:AG31)</f>
        <v>25182</v>
      </c>
    </row>
    <row r="32" ht="12.0" customHeight="1">
      <c r="A32" s="4"/>
      <c r="B32" s="85" t="s">
        <v>106</v>
      </c>
      <c r="C32" s="79">
        <v>624.0</v>
      </c>
      <c r="D32" s="79">
        <v>20.0</v>
      </c>
      <c r="E32" s="89">
        <v>43.0</v>
      </c>
      <c r="F32" s="48">
        <v>62.0</v>
      </c>
      <c r="G32" s="79">
        <v>76.0</v>
      </c>
      <c r="H32" s="79">
        <v>139.0</v>
      </c>
      <c r="I32" s="79">
        <v>52.0</v>
      </c>
      <c r="J32" s="79">
        <v>181.0</v>
      </c>
      <c r="K32" s="79">
        <v>233.0</v>
      </c>
      <c r="L32" s="89">
        <v>116.0</v>
      </c>
      <c r="M32" s="48">
        <v>348.0</v>
      </c>
      <c r="N32" s="90">
        <v>1582.0</v>
      </c>
      <c r="O32" s="90">
        <v>1930.0</v>
      </c>
      <c r="P32" s="90">
        <v>1182.4</v>
      </c>
      <c r="Q32" s="91">
        <v>-361.0</v>
      </c>
      <c r="R32" s="90">
        <v>821.0</v>
      </c>
      <c r="S32" s="90">
        <v>369.0</v>
      </c>
      <c r="T32" s="90">
        <v>1189.6</v>
      </c>
      <c r="U32" s="90">
        <v>3045.0</v>
      </c>
      <c r="V32" s="87">
        <v>4235.0</v>
      </c>
      <c r="W32" s="87">
        <v>2376.0</v>
      </c>
      <c r="X32" s="87">
        <v>5036.0</v>
      </c>
      <c r="Y32" s="87">
        <v>7412.0</v>
      </c>
      <c r="Z32" s="87">
        <v>2949.0</v>
      </c>
      <c r="AA32" s="87">
        <v>10361.0</v>
      </c>
      <c r="AB32" s="87">
        <v>3481.0</v>
      </c>
      <c r="AC32" s="87">
        <f t="shared" si="28"/>
        <v>13842</v>
      </c>
      <c r="AD32" s="87">
        <v>2757.0</v>
      </c>
      <c r="AE32" s="88">
        <v>4618.0</v>
      </c>
      <c r="AF32" s="87">
        <f t="shared" si="29"/>
        <v>7375</v>
      </c>
      <c r="AG32" s="88">
        <v>7597.0</v>
      </c>
      <c r="AH32" s="88">
        <f t="shared" si="30"/>
        <v>14972</v>
      </c>
    </row>
    <row r="33" ht="12.0" customHeight="1">
      <c r="A33" s="4"/>
      <c r="B33" s="31" t="s">
        <v>107</v>
      </c>
      <c r="C33" s="92">
        <f t="shared" ref="C33:AA33" si="31">SUM(C29:C32)</f>
        <v>248305</v>
      </c>
      <c r="D33" s="92">
        <f t="shared" si="31"/>
        <v>176016.4</v>
      </c>
      <c r="E33" s="92">
        <f t="shared" si="31"/>
        <v>98717</v>
      </c>
      <c r="F33" s="92">
        <f t="shared" si="31"/>
        <v>274733</v>
      </c>
      <c r="G33" s="92">
        <f t="shared" si="31"/>
        <v>105144</v>
      </c>
      <c r="H33" s="92">
        <f t="shared" si="31"/>
        <v>379877</v>
      </c>
      <c r="I33" s="92">
        <f t="shared" si="31"/>
        <v>114197</v>
      </c>
      <c r="J33" s="92">
        <f t="shared" si="31"/>
        <v>116288</v>
      </c>
      <c r="K33" s="92">
        <f t="shared" si="31"/>
        <v>230485</v>
      </c>
      <c r="L33" s="92">
        <f t="shared" si="31"/>
        <v>139585</v>
      </c>
      <c r="M33" s="92">
        <f t="shared" si="31"/>
        <v>370069</v>
      </c>
      <c r="N33" s="92">
        <f t="shared" si="31"/>
        <v>172394</v>
      </c>
      <c r="O33" s="92">
        <f t="shared" si="31"/>
        <v>542462</v>
      </c>
      <c r="P33" s="92">
        <f t="shared" si="31"/>
        <v>173380.8</v>
      </c>
      <c r="Q33" s="92">
        <f t="shared" si="31"/>
        <v>193447</v>
      </c>
      <c r="R33" s="92">
        <f t="shared" si="31"/>
        <v>366827</v>
      </c>
      <c r="S33" s="92">
        <f t="shared" si="31"/>
        <v>206458</v>
      </c>
      <c r="T33" s="92">
        <f t="shared" si="31"/>
        <v>573285.3</v>
      </c>
      <c r="U33" s="92">
        <f t="shared" si="31"/>
        <v>234409</v>
      </c>
      <c r="V33" s="92">
        <f t="shared" si="31"/>
        <v>807694</v>
      </c>
      <c r="W33" s="92">
        <f t="shared" si="31"/>
        <v>213916</v>
      </c>
      <c r="X33" s="93">
        <f t="shared" si="31"/>
        <v>211394</v>
      </c>
      <c r="Y33" s="93">
        <f t="shared" si="31"/>
        <v>425311</v>
      </c>
      <c r="Z33" s="93">
        <f t="shared" si="31"/>
        <v>184369</v>
      </c>
      <c r="AA33" s="93">
        <f t="shared" si="31"/>
        <v>609680</v>
      </c>
      <c r="AB33" s="93">
        <f t="shared" ref="AB33:AC33" si="32">SUM(AB29:AB32)-1</f>
        <v>185839</v>
      </c>
      <c r="AC33" s="93">
        <f t="shared" si="32"/>
        <v>795518</v>
      </c>
      <c r="AD33" s="93">
        <f>SUM(AD29:AD32)+1</f>
        <v>178351</v>
      </c>
      <c r="AE33" s="93">
        <f t="shared" ref="AE33:AH33" si="33">SUM(AE29:AE32)</f>
        <v>209174</v>
      </c>
      <c r="AF33" s="93">
        <f t="shared" si="33"/>
        <v>387524</v>
      </c>
      <c r="AG33" s="93">
        <f t="shared" si="33"/>
        <v>231848</v>
      </c>
      <c r="AH33" s="93">
        <f t="shared" si="33"/>
        <v>619372</v>
      </c>
    </row>
    <row r="34" ht="12.0" customHeight="1">
      <c r="A34" s="4"/>
      <c r="B34" s="94" t="s">
        <v>108</v>
      </c>
      <c r="C34" s="95">
        <f t="shared" ref="C34:K34" si="34">C33/C28</f>
        <v>0.3667004857</v>
      </c>
      <c r="D34" s="95">
        <f t="shared" si="34"/>
        <v>0.3926707691</v>
      </c>
      <c r="E34" s="95">
        <f t="shared" si="34"/>
        <v>0.4064150648</v>
      </c>
      <c r="F34" s="95">
        <f t="shared" si="34"/>
        <v>0.3975001157</v>
      </c>
      <c r="G34" s="95">
        <f t="shared" si="34"/>
        <v>0.3962210825</v>
      </c>
      <c r="H34" s="95">
        <f t="shared" si="34"/>
        <v>0.3971452736</v>
      </c>
      <c r="I34" s="95">
        <f t="shared" si="34"/>
        <v>0.3854204636</v>
      </c>
      <c r="J34" s="95">
        <f t="shared" si="34"/>
        <v>0.3687889282</v>
      </c>
      <c r="K34" s="95">
        <f t="shared" si="34"/>
        <v>0.3768459295</v>
      </c>
      <c r="L34" s="84" t="s">
        <v>109</v>
      </c>
      <c r="M34" s="96" t="s">
        <v>110</v>
      </c>
      <c r="N34" s="95">
        <f t="shared" ref="N34:AH34" si="35">N33/N28</f>
        <v>0.3773998783</v>
      </c>
      <c r="O34" s="95">
        <f t="shared" si="35"/>
        <v>0.3755673715</v>
      </c>
      <c r="P34" s="95">
        <f t="shared" si="35"/>
        <v>0.3524917052</v>
      </c>
      <c r="Q34" s="95">
        <f t="shared" si="35"/>
        <v>0.3684599488</v>
      </c>
      <c r="R34" s="95">
        <f t="shared" si="35"/>
        <v>0.3607352636</v>
      </c>
      <c r="S34" s="95">
        <f t="shared" si="35"/>
        <v>0.3693226336</v>
      </c>
      <c r="T34" s="95">
        <f t="shared" si="35"/>
        <v>0.3637816366</v>
      </c>
      <c r="U34" s="95">
        <f t="shared" si="35"/>
        <v>0.3831433218</v>
      </c>
      <c r="V34" s="95">
        <f t="shared" si="35"/>
        <v>0.3691961</v>
      </c>
      <c r="W34" s="95">
        <f t="shared" si="35"/>
        <v>0.3506871413</v>
      </c>
      <c r="X34" s="97">
        <f t="shared" si="35"/>
        <v>0.369678507</v>
      </c>
      <c r="Y34" s="97">
        <f t="shared" si="35"/>
        <v>0.3598767668</v>
      </c>
      <c r="Z34" s="97">
        <f t="shared" si="35"/>
        <v>0.3484689548</v>
      </c>
      <c r="AA34" s="97">
        <f t="shared" si="35"/>
        <v>0.3563490009</v>
      </c>
      <c r="AB34" s="97">
        <f t="shared" si="35"/>
        <v>0.3556318892</v>
      </c>
      <c r="AC34" s="97">
        <f t="shared" si="35"/>
        <v>0.3561809313</v>
      </c>
      <c r="AD34" s="97">
        <f t="shared" si="35"/>
        <v>0.3406837323</v>
      </c>
      <c r="AE34" s="97">
        <f t="shared" si="35"/>
        <v>0.3697927348</v>
      </c>
      <c r="AF34" s="97">
        <f t="shared" si="35"/>
        <v>0.3558004739</v>
      </c>
      <c r="AG34" s="97">
        <f t="shared" si="35"/>
        <v>0.3726501222</v>
      </c>
      <c r="AH34" s="97">
        <f t="shared" si="35"/>
        <v>0.3619262546</v>
      </c>
    </row>
    <row r="35" ht="12.0" customHeight="1">
      <c r="A35" s="4"/>
      <c r="B35" s="98"/>
      <c r="C35" s="79"/>
      <c r="D35" s="79"/>
      <c r="E35" s="89"/>
      <c r="F35" s="49"/>
      <c r="G35" s="79"/>
      <c r="H35" s="79"/>
      <c r="I35" s="79"/>
      <c r="J35" s="79"/>
      <c r="K35" s="79"/>
      <c r="L35" s="89"/>
      <c r="M35" s="49"/>
      <c r="N35" s="49"/>
      <c r="O35" s="49"/>
      <c r="P35" s="49"/>
      <c r="Q35" s="49"/>
      <c r="R35" s="49"/>
      <c r="S35" s="49"/>
      <c r="T35" s="49"/>
      <c r="U35" s="49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</row>
    <row r="36" ht="12.0" customHeight="1">
      <c r="A36" s="4"/>
      <c r="B36" s="31" t="s">
        <v>111</v>
      </c>
      <c r="C36" s="79"/>
      <c r="D36" s="79"/>
      <c r="E36" s="84"/>
      <c r="F36" s="99"/>
      <c r="G36" s="79"/>
      <c r="H36" s="79"/>
      <c r="I36" s="79"/>
      <c r="J36" s="79"/>
      <c r="K36" s="79"/>
      <c r="L36" s="84"/>
      <c r="M36" s="99"/>
      <c r="N36" s="100"/>
      <c r="O36" s="100"/>
      <c r="P36" s="100"/>
      <c r="Q36" s="100"/>
      <c r="R36" s="100"/>
      <c r="S36" s="100"/>
      <c r="T36" s="100"/>
      <c r="U36" s="100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ht="12.0" customHeight="1">
      <c r="A37" s="4"/>
      <c r="B37" s="98" t="s">
        <v>112</v>
      </c>
      <c r="C37" s="79">
        <f t="shared" ref="C37:AH37" si="36">C22</f>
        <v>56569</v>
      </c>
      <c r="D37" s="79">
        <f t="shared" si="36"/>
        <v>58713.2</v>
      </c>
      <c r="E37" s="79">
        <f t="shared" si="36"/>
        <v>39538</v>
      </c>
      <c r="F37" s="79">
        <f t="shared" si="36"/>
        <v>98253</v>
      </c>
      <c r="G37" s="79">
        <f t="shared" si="36"/>
        <v>29401</v>
      </c>
      <c r="H37" s="79">
        <f t="shared" si="36"/>
        <v>127654</v>
      </c>
      <c r="I37" s="79">
        <f t="shared" si="36"/>
        <v>39615</v>
      </c>
      <c r="J37" s="79">
        <f t="shared" si="36"/>
        <v>44722</v>
      </c>
      <c r="K37" s="79">
        <f t="shared" si="36"/>
        <v>84337</v>
      </c>
      <c r="L37" s="79">
        <f t="shared" si="36"/>
        <v>-2208</v>
      </c>
      <c r="M37" s="79">
        <f t="shared" si="36"/>
        <v>82129</v>
      </c>
      <c r="N37" s="79">
        <f t="shared" si="36"/>
        <v>43828</v>
      </c>
      <c r="O37" s="79">
        <f t="shared" si="36"/>
        <v>125957</v>
      </c>
      <c r="P37" s="79">
        <f t="shared" si="36"/>
        <v>29223</v>
      </c>
      <c r="Q37" s="79">
        <f t="shared" si="36"/>
        <v>25999</v>
      </c>
      <c r="R37" s="79">
        <f t="shared" si="36"/>
        <v>55222</v>
      </c>
      <c r="S37" s="79">
        <f t="shared" si="36"/>
        <v>40608</v>
      </c>
      <c r="T37" s="79">
        <f t="shared" si="36"/>
        <v>95830</v>
      </c>
      <c r="U37" s="79">
        <f t="shared" si="36"/>
        <v>30086</v>
      </c>
      <c r="V37" s="79">
        <f t="shared" si="36"/>
        <v>95710</v>
      </c>
      <c r="W37" s="79">
        <f t="shared" si="36"/>
        <v>43634</v>
      </c>
      <c r="X37" s="82">
        <f t="shared" si="36"/>
        <v>38968</v>
      </c>
      <c r="Y37" s="82">
        <f t="shared" si="36"/>
        <v>82603</v>
      </c>
      <c r="Z37" s="82">
        <f t="shared" si="36"/>
        <v>27047</v>
      </c>
      <c r="AA37" s="82">
        <f t="shared" si="36"/>
        <v>109650</v>
      </c>
      <c r="AB37" s="82">
        <f t="shared" si="36"/>
        <v>22924</v>
      </c>
      <c r="AC37" s="87">
        <f t="shared" si="36"/>
        <v>132573</v>
      </c>
      <c r="AD37" s="87">
        <f t="shared" si="36"/>
        <v>22409</v>
      </c>
      <c r="AE37" s="87">
        <f t="shared" si="36"/>
        <v>48508</v>
      </c>
      <c r="AF37" s="87">
        <f t="shared" si="36"/>
        <v>70917</v>
      </c>
      <c r="AG37" s="87">
        <f t="shared" si="36"/>
        <v>28573</v>
      </c>
      <c r="AH37" s="87">
        <f t="shared" si="36"/>
        <v>99490</v>
      </c>
    </row>
    <row r="38" ht="12.0" customHeight="1">
      <c r="A38" s="4"/>
      <c r="B38" s="83" t="s">
        <v>104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ht="12.0" customHeight="1">
      <c r="A39" s="4"/>
      <c r="B39" s="101" t="s">
        <v>113</v>
      </c>
      <c r="C39" s="79">
        <f t="shared" ref="C39:AB39" si="37">-C19</f>
        <v>5911</v>
      </c>
      <c r="D39" s="79">
        <f t="shared" si="37"/>
        <v>12151.6</v>
      </c>
      <c r="E39" s="79">
        <f t="shared" si="37"/>
        <v>1891</v>
      </c>
      <c r="F39" s="79">
        <f t="shared" si="37"/>
        <v>14036</v>
      </c>
      <c r="G39" s="79">
        <f t="shared" si="37"/>
        <v>1417</v>
      </c>
      <c r="H39" s="79">
        <f t="shared" si="37"/>
        <v>15453</v>
      </c>
      <c r="I39" s="79">
        <f t="shared" si="37"/>
        <v>1697</v>
      </c>
      <c r="J39" s="79">
        <f t="shared" si="37"/>
        <v>1989</v>
      </c>
      <c r="K39" s="79">
        <f t="shared" si="37"/>
        <v>3686</v>
      </c>
      <c r="L39" s="79">
        <f t="shared" si="37"/>
        <v>22416</v>
      </c>
      <c r="M39" s="102">
        <f t="shared" si="37"/>
        <v>26102</v>
      </c>
      <c r="N39" s="79">
        <f t="shared" si="37"/>
        <v>8130</v>
      </c>
      <c r="O39" s="79">
        <f t="shared" si="37"/>
        <v>34232</v>
      </c>
      <c r="P39" s="79">
        <f t="shared" si="37"/>
        <v>16712</v>
      </c>
      <c r="Q39" s="79">
        <f t="shared" si="37"/>
        <v>17533</v>
      </c>
      <c r="R39" s="79">
        <f t="shared" si="37"/>
        <v>34245</v>
      </c>
      <c r="S39" s="79">
        <f t="shared" si="37"/>
        <v>7432</v>
      </c>
      <c r="T39" s="79">
        <f t="shared" si="37"/>
        <v>41677</v>
      </c>
      <c r="U39" s="79">
        <f t="shared" si="37"/>
        <v>31969</v>
      </c>
      <c r="V39" s="79">
        <f t="shared" si="37"/>
        <v>73646</v>
      </c>
      <c r="W39" s="79">
        <f t="shared" si="37"/>
        <v>19968</v>
      </c>
      <c r="X39" s="82">
        <f t="shared" si="37"/>
        <v>18482</v>
      </c>
      <c r="Y39" s="82">
        <f t="shared" si="37"/>
        <v>38451</v>
      </c>
      <c r="Z39" s="82">
        <f t="shared" si="37"/>
        <v>20293</v>
      </c>
      <c r="AA39" s="82">
        <f t="shared" si="37"/>
        <v>58743</v>
      </c>
      <c r="AB39" s="82">
        <f t="shared" si="37"/>
        <v>17438</v>
      </c>
      <c r="AC39" s="87">
        <f>SUM(AA39:AB39)</f>
        <v>76181</v>
      </c>
      <c r="AD39" s="87">
        <v>12353.0</v>
      </c>
      <c r="AE39" s="87">
        <f>-AE19</f>
        <v>11613</v>
      </c>
      <c r="AF39" s="87">
        <f t="shared" ref="AF39:AF46" si="40">SUM(AD39:AE39)</f>
        <v>23966</v>
      </c>
      <c r="AG39" s="87">
        <f t="shared" ref="AG39:AH39" si="38">-AG19</f>
        <v>20555</v>
      </c>
      <c r="AH39" s="87">
        <f t="shared" si="38"/>
        <v>44521</v>
      </c>
    </row>
    <row r="40" ht="12.0" customHeight="1">
      <c r="A40" s="4"/>
      <c r="B40" s="85" t="s">
        <v>114</v>
      </c>
      <c r="C40" s="79">
        <f t="shared" ref="C40:AB40" si="39">-C21</f>
        <v>29219</v>
      </c>
      <c r="D40" s="79">
        <f t="shared" si="39"/>
        <v>29901</v>
      </c>
      <c r="E40" s="79">
        <f t="shared" si="39"/>
        <v>16386</v>
      </c>
      <c r="F40" s="79">
        <f t="shared" si="39"/>
        <v>46287</v>
      </c>
      <c r="G40" s="79">
        <f t="shared" si="39"/>
        <v>18850</v>
      </c>
      <c r="H40" s="79">
        <f t="shared" si="39"/>
        <v>65137</v>
      </c>
      <c r="I40" s="79">
        <f t="shared" si="39"/>
        <v>20235</v>
      </c>
      <c r="J40" s="79">
        <f t="shared" si="39"/>
        <v>18423</v>
      </c>
      <c r="K40" s="79">
        <f t="shared" si="39"/>
        <v>38658</v>
      </c>
      <c r="L40" s="79">
        <f t="shared" si="39"/>
        <v>18857</v>
      </c>
      <c r="M40" s="102">
        <f t="shared" si="39"/>
        <v>57515</v>
      </c>
      <c r="N40" s="79">
        <f t="shared" si="39"/>
        <v>26902</v>
      </c>
      <c r="O40" s="79">
        <f t="shared" si="39"/>
        <v>84417</v>
      </c>
      <c r="P40" s="79">
        <f t="shared" si="39"/>
        <v>15314</v>
      </c>
      <c r="Q40" s="79">
        <f t="shared" si="39"/>
        <v>18016</v>
      </c>
      <c r="R40" s="79">
        <f t="shared" si="39"/>
        <v>33330</v>
      </c>
      <c r="S40" s="79">
        <f t="shared" si="39"/>
        <v>16537</v>
      </c>
      <c r="T40" s="79">
        <f t="shared" si="39"/>
        <v>49867</v>
      </c>
      <c r="U40" s="79">
        <f t="shared" si="39"/>
        <v>24489</v>
      </c>
      <c r="V40" s="79">
        <f t="shared" si="39"/>
        <v>104562</v>
      </c>
      <c r="W40" s="79">
        <f t="shared" si="39"/>
        <v>20471</v>
      </c>
      <c r="X40" s="37">
        <f t="shared" si="39"/>
        <v>20169</v>
      </c>
      <c r="Y40" s="37">
        <f t="shared" si="39"/>
        <v>40640</v>
      </c>
      <c r="Z40" s="37">
        <f t="shared" si="39"/>
        <v>22279</v>
      </c>
      <c r="AA40" s="37">
        <f t="shared" si="39"/>
        <v>62919</v>
      </c>
      <c r="AB40" s="37">
        <f t="shared" si="39"/>
        <v>13803</v>
      </c>
      <c r="AC40" s="87">
        <v>76722.0</v>
      </c>
      <c r="AD40" s="87">
        <v>16810.0</v>
      </c>
      <c r="AE40" s="87">
        <f>-AE21</f>
        <v>16885</v>
      </c>
      <c r="AF40" s="87">
        <f t="shared" si="40"/>
        <v>33695</v>
      </c>
      <c r="AG40" s="87">
        <f t="shared" ref="AG40:AH40" si="41">-AG21</f>
        <v>29153</v>
      </c>
      <c r="AH40" s="87">
        <f t="shared" si="41"/>
        <v>62848</v>
      </c>
    </row>
    <row r="41" ht="12.0" customHeight="1">
      <c r="A41" s="4"/>
      <c r="B41" s="101" t="s">
        <v>115</v>
      </c>
      <c r="C41" s="79">
        <v>25577.0</v>
      </c>
      <c r="D41" s="79">
        <v>14894.0</v>
      </c>
      <c r="E41" s="79">
        <v>7559.0</v>
      </c>
      <c r="F41" s="80">
        <v>22452.0</v>
      </c>
      <c r="G41" s="79">
        <v>7429.0</v>
      </c>
      <c r="H41" s="79">
        <v>29882.0</v>
      </c>
      <c r="I41" s="79">
        <v>7795.0</v>
      </c>
      <c r="J41" s="79">
        <v>8224.0</v>
      </c>
      <c r="K41" s="79">
        <v>16019.0</v>
      </c>
      <c r="L41" s="86">
        <v>14083.0</v>
      </c>
      <c r="M41" s="102">
        <v>30102.0</v>
      </c>
      <c r="N41" s="81">
        <v>18251.0</v>
      </c>
      <c r="O41" s="81">
        <v>48354.0</v>
      </c>
      <c r="P41" s="81">
        <v>19390.0</v>
      </c>
      <c r="Q41" s="81">
        <v>24205.0</v>
      </c>
      <c r="R41" s="81">
        <v>43596.0</v>
      </c>
      <c r="S41" s="81">
        <v>23558.0</v>
      </c>
      <c r="T41" s="81">
        <v>67154.0</v>
      </c>
      <c r="U41" s="81">
        <v>27404.0</v>
      </c>
      <c r="V41" s="87">
        <v>94558.0</v>
      </c>
      <c r="W41" s="87">
        <v>25053.0</v>
      </c>
      <c r="X41" s="87">
        <v>23056.0</v>
      </c>
      <c r="Y41" s="87">
        <v>48109.0</v>
      </c>
      <c r="Z41" s="87">
        <v>22871.0</v>
      </c>
      <c r="AA41" s="87">
        <v>70980.0</v>
      </c>
      <c r="AB41" s="87">
        <v>22233.0</v>
      </c>
      <c r="AC41" s="87">
        <f t="shared" ref="AC41:AC42" si="42">SUM(AA41:AB41)</f>
        <v>93213</v>
      </c>
      <c r="AD41" s="87">
        <v>21876.0</v>
      </c>
      <c r="AE41" s="88">
        <v>23386.0</v>
      </c>
      <c r="AF41" s="87">
        <f t="shared" si="40"/>
        <v>45262</v>
      </c>
      <c r="AG41" s="88">
        <v>23857.0</v>
      </c>
      <c r="AH41" s="88">
        <f t="shared" ref="AH41:AH43" si="43">SUM(AF41:AG41)</f>
        <v>69119</v>
      </c>
    </row>
    <row r="42" ht="12.0" customHeight="1">
      <c r="A42" s="4"/>
      <c r="B42" s="103" t="s">
        <v>116</v>
      </c>
      <c r="C42" s="102">
        <v>3199.0</v>
      </c>
      <c r="D42" s="102">
        <v>520.3</v>
      </c>
      <c r="E42" s="104">
        <v>213.0</v>
      </c>
      <c r="F42" s="105">
        <v>733.0</v>
      </c>
      <c r="G42" s="102">
        <v>201.0</v>
      </c>
      <c r="H42" s="102">
        <v>934.0</v>
      </c>
      <c r="I42" s="102">
        <v>173.0</v>
      </c>
      <c r="J42" s="102">
        <v>328.0</v>
      </c>
      <c r="K42" s="102">
        <v>501.0</v>
      </c>
      <c r="L42" s="104">
        <v>193.0</v>
      </c>
      <c r="M42" s="102">
        <v>693.0</v>
      </c>
      <c r="N42" s="106">
        <v>1838.0</v>
      </c>
      <c r="O42" s="106">
        <v>2531.0</v>
      </c>
      <c r="P42" s="106">
        <v>1239.09</v>
      </c>
      <c r="Q42" s="107">
        <v>-106.0</v>
      </c>
      <c r="R42" s="106">
        <v>1133.0</v>
      </c>
      <c r="S42" s="106">
        <v>761.0</v>
      </c>
      <c r="T42" s="106">
        <v>1894.0</v>
      </c>
      <c r="U42" s="79">
        <v>3592.0</v>
      </c>
      <c r="V42" s="87">
        <v>5486.0</v>
      </c>
      <c r="W42" s="87">
        <v>5393.442</v>
      </c>
      <c r="X42" s="87">
        <v>9719.0</v>
      </c>
      <c r="Y42" s="88">
        <f>15113-1</f>
        <v>15112</v>
      </c>
      <c r="Z42" s="87">
        <v>6627.0</v>
      </c>
      <c r="AA42" s="87">
        <v>21740.0</v>
      </c>
      <c r="AB42" s="87">
        <v>6376.0</v>
      </c>
      <c r="AC42" s="87">
        <f t="shared" si="42"/>
        <v>28116</v>
      </c>
      <c r="AD42" s="87">
        <v>3772.0</v>
      </c>
      <c r="AE42" s="88">
        <v>6679.0</v>
      </c>
      <c r="AF42" s="87">
        <f t="shared" si="40"/>
        <v>10451</v>
      </c>
      <c r="AG42" s="88">
        <v>10848.0</v>
      </c>
      <c r="AH42" s="88">
        <f t="shared" si="43"/>
        <v>21299</v>
      </c>
    </row>
    <row r="43" ht="12.0" customHeight="1">
      <c r="A43" s="4"/>
      <c r="B43" s="85" t="s">
        <v>117</v>
      </c>
      <c r="C43" s="102">
        <v>858.0</v>
      </c>
      <c r="D43" s="102">
        <v>0.0</v>
      </c>
      <c r="E43" s="108">
        <v>320.0</v>
      </c>
      <c r="F43" s="108">
        <v>320.0</v>
      </c>
      <c r="G43" s="102">
        <v>108.0</v>
      </c>
      <c r="H43" s="102">
        <v>446.0</v>
      </c>
      <c r="I43" s="102">
        <v>225.0</v>
      </c>
      <c r="J43" s="102">
        <v>237.0</v>
      </c>
      <c r="K43" s="102">
        <v>462.0</v>
      </c>
      <c r="L43" s="106">
        <v>4895.0</v>
      </c>
      <c r="M43" s="102">
        <f>SUM(K43:L43)</f>
        <v>5357</v>
      </c>
      <c r="N43" s="106">
        <v>3821.0</v>
      </c>
      <c r="O43" s="26">
        <v>2200.0</v>
      </c>
      <c r="P43" s="102">
        <v>0.0</v>
      </c>
      <c r="Q43" s="106">
        <v>6395.0</v>
      </c>
      <c r="R43" s="106">
        <v>9090.0</v>
      </c>
      <c r="S43" s="102">
        <v>0.0</v>
      </c>
      <c r="T43" s="102">
        <v>0.0</v>
      </c>
      <c r="U43" s="102">
        <v>0.0</v>
      </c>
      <c r="V43" s="102">
        <v>0.0</v>
      </c>
      <c r="W43" s="102">
        <v>0.0</v>
      </c>
      <c r="X43" s="82">
        <v>0.0</v>
      </c>
      <c r="Y43" s="82">
        <v>0.0</v>
      </c>
      <c r="Z43" s="82">
        <v>0.0</v>
      </c>
      <c r="AA43" s="82">
        <v>0.0</v>
      </c>
      <c r="AB43" s="82">
        <v>0.0</v>
      </c>
      <c r="AC43" s="82">
        <v>0.0</v>
      </c>
      <c r="AD43" s="82">
        <v>0.0</v>
      </c>
      <c r="AE43" s="109">
        <v>0.0</v>
      </c>
      <c r="AF43" s="82">
        <f t="shared" si="40"/>
        <v>0</v>
      </c>
      <c r="AG43" s="109">
        <v>0.0</v>
      </c>
      <c r="AH43" s="109">
        <f t="shared" si="43"/>
        <v>0</v>
      </c>
    </row>
    <row r="44" ht="12.0" customHeight="1">
      <c r="A44" s="4"/>
      <c r="B44" s="85" t="s">
        <v>118</v>
      </c>
      <c r="C44" s="102">
        <v>-3.0</v>
      </c>
      <c r="D44" s="102">
        <v>-644.7</v>
      </c>
      <c r="E44" s="102">
        <v>-673.0</v>
      </c>
      <c r="F44" s="102">
        <v>-1318.0</v>
      </c>
      <c r="G44" s="102">
        <v>-253.0</v>
      </c>
      <c r="H44" s="102">
        <v>-1571.0</v>
      </c>
      <c r="I44" s="102">
        <v>-1405.0</v>
      </c>
      <c r="J44" s="102">
        <v>-9.0</v>
      </c>
      <c r="K44" s="102">
        <v>-1414.0</v>
      </c>
      <c r="L44" s="102">
        <v>-4.0</v>
      </c>
      <c r="M44" s="102">
        <v>-1418.0</v>
      </c>
      <c r="N44" s="102">
        <v>-1063.0</v>
      </c>
      <c r="O44" s="37">
        <v>-2481.0</v>
      </c>
      <c r="P44" s="102">
        <v>-58.0</v>
      </c>
      <c r="Q44" s="102">
        <v>-115.0</v>
      </c>
      <c r="R44" s="102">
        <v>-174.0</v>
      </c>
      <c r="S44" s="102">
        <v>-204.0</v>
      </c>
      <c r="T44" s="102">
        <v>-378.0</v>
      </c>
      <c r="U44" s="102">
        <v>-764.0</v>
      </c>
      <c r="V44" s="102">
        <v>-1141.0</v>
      </c>
      <c r="W44" s="102">
        <v>-140.0</v>
      </c>
      <c r="X44" s="37">
        <v>-137.0</v>
      </c>
      <c r="Y44" s="37">
        <v>-277.0</v>
      </c>
      <c r="Z44" s="37">
        <v>-29.0</v>
      </c>
      <c r="AA44" s="37">
        <v>-306.0</v>
      </c>
      <c r="AB44" s="37">
        <v>-624.0</v>
      </c>
      <c r="AC44" s="37">
        <f>SUM(AA44:AB44)-1</f>
        <v>-931</v>
      </c>
      <c r="AD44" s="37">
        <v>-71.0</v>
      </c>
      <c r="AE44" s="40">
        <v>-315.0</v>
      </c>
      <c r="AF44" s="37">
        <f t="shared" si="40"/>
        <v>-386</v>
      </c>
      <c r="AG44" s="40">
        <v>-909.0</v>
      </c>
      <c r="AH44" s="40">
        <v>-1296.0</v>
      </c>
    </row>
    <row r="45" ht="12.0" customHeight="1">
      <c r="A45" s="4"/>
      <c r="B45" s="85" t="s">
        <v>119</v>
      </c>
      <c r="C45" s="102">
        <v>0.0</v>
      </c>
      <c r="D45" s="102">
        <v>0.0</v>
      </c>
      <c r="E45" s="102">
        <v>0.0</v>
      </c>
      <c r="F45" s="102">
        <v>0.0</v>
      </c>
      <c r="G45" s="102">
        <v>0.0</v>
      </c>
      <c r="H45" s="102">
        <v>0.0</v>
      </c>
      <c r="I45" s="102">
        <v>0.0</v>
      </c>
      <c r="J45" s="102">
        <v>0.0</v>
      </c>
      <c r="K45" s="102">
        <v>0.0</v>
      </c>
      <c r="L45" s="106">
        <v>21818.0</v>
      </c>
      <c r="M45" s="102">
        <v>21818.0</v>
      </c>
      <c r="N45" s="106">
        <v>77.0</v>
      </c>
      <c r="O45" s="13">
        <v>21895.0</v>
      </c>
      <c r="P45" s="102">
        <v>0.0</v>
      </c>
      <c r="Q45" s="102">
        <v>0.0</v>
      </c>
      <c r="R45" s="102">
        <v>0.0</v>
      </c>
      <c r="S45" s="102">
        <v>0.0</v>
      </c>
      <c r="T45" s="102">
        <v>0.0</v>
      </c>
      <c r="U45" s="102">
        <v>0.0</v>
      </c>
      <c r="V45" s="102">
        <v>0.0</v>
      </c>
      <c r="W45" s="102">
        <v>0.0</v>
      </c>
      <c r="X45" s="82">
        <v>0.0</v>
      </c>
      <c r="Y45" s="82">
        <v>0.0</v>
      </c>
      <c r="Z45" s="82">
        <v>0.0</v>
      </c>
      <c r="AA45" s="82">
        <v>0.0</v>
      </c>
      <c r="AB45" s="82">
        <v>0.0</v>
      </c>
      <c r="AC45" s="82">
        <v>0.0</v>
      </c>
      <c r="AD45" s="82">
        <v>0.0</v>
      </c>
      <c r="AE45" s="109">
        <v>0.0</v>
      </c>
      <c r="AF45" s="37">
        <f t="shared" si="40"/>
        <v>0</v>
      </c>
      <c r="AG45" s="40">
        <v>0.0</v>
      </c>
      <c r="AH45" s="40">
        <f t="shared" ref="AH45:AH46" si="44">SUM(AF45:AG45)</f>
        <v>0</v>
      </c>
    </row>
    <row r="46" ht="12.0" customHeight="1">
      <c r="A46" s="4"/>
      <c r="B46" s="85" t="s">
        <v>120</v>
      </c>
      <c r="C46" s="102">
        <v>0.0</v>
      </c>
      <c r="D46" s="102">
        <v>0.0</v>
      </c>
      <c r="E46" s="102">
        <v>0.0</v>
      </c>
      <c r="F46" s="102">
        <v>0.0</v>
      </c>
      <c r="G46" s="102">
        <v>0.0</v>
      </c>
      <c r="H46" s="102">
        <v>0.0</v>
      </c>
      <c r="I46" s="102">
        <v>0.0</v>
      </c>
      <c r="J46" s="102">
        <v>0.0</v>
      </c>
      <c r="K46" s="102">
        <v>0.0</v>
      </c>
      <c r="L46" s="102">
        <v>0.0</v>
      </c>
      <c r="M46" s="110">
        <f t="shared" ref="M46:M47" si="45">SUM(K46:L46)</f>
        <v>0</v>
      </c>
      <c r="N46" s="110">
        <v>0.0</v>
      </c>
      <c r="O46" s="40">
        <v>6957.0</v>
      </c>
      <c r="P46" s="106">
        <v>2694.66</v>
      </c>
      <c r="Q46" s="102">
        <v>8464.0</v>
      </c>
      <c r="R46" s="102">
        <v>8464.0</v>
      </c>
      <c r="S46" s="102">
        <v>16497.0</v>
      </c>
      <c r="T46" s="102">
        <v>34051.0</v>
      </c>
      <c r="U46" s="102">
        <v>10601.0</v>
      </c>
      <c r="V46" s="87">
        <v>44652.0</v>
      </c>
      <c r="W46" s="87">
        <v>2124.1387</v>
      </c>
      <c r="X46" s="87">
        <v>3965.0</v>
      </c>
      <c r="Y46" s="87">
        <v>6089.0</v>
      </c>
      <c r="Z46" s="64">
        <v>-1341.0</v>
      </c>
      <c r="AA46" s="87">
        <v>4748.0</v>
      </c>
      <c r="AB46" s="87">
        <v>436.0</v>
      </c>
      <c r="AC46" s="87">
        <f t="shared" ref="AC46:AC47" si="46">SUM(AA46:AB46)</f>
        <v>5184</v>
      </c>
      <c r="AD46" s="87">
        <v>1350.0</v>
      </c>
      <c r="AE46" s="88">
        <v>1513.0</v>
      </c>
      <c r="AF46" s="37">
        <f t="shared" si="40"/>
        <v>2863</v>
      </c>
      <c r="AG46" s="40">
        <v>3906.0</v>
      </c>
      <c r="AH46" s="40">
        <f t="shared" si="44"/>
        <v>6769</v>
      </c>
    </row>
    <row r="47" ht="12.0" customHeight="1">
      <c r="A47" s="4"/>
      <c r="B47" s="85" t="s">
        <v>121</v>
      </c>
      <c r="C47" s="102">
        <v>0.0</v>
      </c>
      <c r="D47" s="102">
        <v>0.0</v>
      </c>
      <c r="E47" s="102">
        <v>0.0</v>
      </c>
      <c r="F47" s="102">
        <v>0.0</v>
      </c>
      <c r="G47" s="102">
        <v>0.0</v>
      </c>
      <c r="H47" s="102">
        <v>0.0</v>
      </c>
      <c r="I47" s="102">
        <v>0.0</v>
      </c>
      <c r="J47" s="102">
        <v>0.0</v>
      </c>
      <c r="K47" s="102">
        <v>0.0</v>
      </c>
      <c r="L47" s="102">
        <v>0.0</v>
      </c>
      <c r="M47" s="110">
        <f t="shared" si="45"/>
        <v>0</v>
      </c>
      <c r="N47" s="110">
        <v>0.0</v>
      </c>
      <c r="O47" s="111">
        <f>SUM(M47:N47)</f>
        <v>0</v>
      </c>
      <c r="P47" s="102">
        <v>0.0</v>
      </c>
      <c r="Q47" s="102">
        <v>0.0</v>
      </c>
      <c r="R47" s="102">
        <f>SUM(P47:Q47)</f>
        <v>0</v>
      </c>
      <c r="S47" s="112">
        <v>0.0</v>
      </c>
      <c r="T47" s="112">
        <f>SUM(R47:S47)</f>
        <v>0</v>
      </c>
      <c r="U47" s="102">
        <v>0.0</v>
      </c>
      <c r="V47" s="102">
        <v>0.0</v>
      </c>
      <c r="W47" s="102">
        <v>0.0</v>
      </c>
      <c r="X47" s="82">
        <v>0.0</v>
      </c>
      <c r="Y47" s="113">
        <f>SUM(W47:X47)</f>
        <v>0</v>
      </c>
      <c r="Z47" s="82">
        <v>0.0</v>
      </c>
      <c r="AA47" s="82">
        <v>0.0</v>
      </c>
      <c r="AB47" s="87">
        <v>20997.0</v>
      </c>
      <c r="AC47" s="87">
        <f t="shared" si="46"/>
        <v>20997</v>
      </c>
      <c r="AD47" s="87">
        <v>5758.0</v>
      </c>
      <c r="AE47" s="88">
        <v>428.0</v>
      </c>
      <c r="AF47" s="37">
        <f>SUM(AD47:AE47)+1</f>
        <v>6187</v>
      </c>
      <c r="AG47" s="40">
        <v>5401.0</v>
      </c>
      <c r="AH47" s="40">
        <v>11587.0</v>
      </c>
    </row>
    <row r="48" ht="12.0" customHeight="1">
      <c r="A48" s="4"/>
      <c r="B48" s="85" t="s">
        <v>122</v>
      </c>
      <c r="C48" s="102">
        <v>14891.0</v>
      </c>
      <c r="D48" s="102">
        <v>0.0</v>
      </c>
      <c r="E48" s="102">
        <v>0.0</v>
      </c>
      <c r="F48" s="102">
        <v>0.0</v>
      </c>
      <c r="G48" s="102">
        <v>0.0</v>
      </c>
      <c r="H48" s="102">
        <v>-18.0</v>
      </c>
      <c r="I48" s="102">
        <v>0.0</v>
      </c>
      <c r="J48" s="102">
        <v>0.0</v>
      </c>
      <c r="K48" s="102">
        <v>0.0</v>
      </c>
      <c r="L48" s="102">
        <v>0.0</v>
      </c>
      <c r="M48" s="110">
        <v>0.0</v>
      </c>
      <c r="N48" s="110">
        <v>0.0</v>
      </c>
      <c r="O48" s="111">
        <v>0.0</v>
      </c>
      <c r="P48" s="102">
        <v>0.0</v>
      </c>
      <c r="Q48" s="102">
        <v>0.0</v>
      </c>
      <c r="R48" s="102">
        <v>1547.5</v>
      </c>
      <c r="S48" s="112">
        <v>0.0</v>
      </c>
      <c r="T48" s="112">
        <v>0.0</v>
      </c>
      <c r="U48" s="102">
        <v>0.0</v>
      </c>
      <c r="V48" s="102">
        <v>0.0</v>
      </c>
      <c r="W48" s="10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109">
        <v>0.0</v>
      </c>
      <c r="AF48" s="37">
        <f>SUM(AD48:AE48)</f>
        <v>0</v>
      </c>
      <c r="AG48" s="40">
        <v>0.0</v>
      </c>
      <c r="AH48" s="40">
        <f>SUM(AF48:AG48)</f>
        <v>0</v>
      </c>
    </row>
    <row r="49" ht="12.0" customHeight="1">
      <c r="A49" s="4"/>
      <c r="B49" s="31" t="s">
        <v>123</v>
      </c>
      <c r="C49" s="114">
        <f t="shared" ref="C49:K49" si="47">SUM(C37:C48)</f>
        <v>136221</v>
      </c>
      <c r="D49" s="114">
        <f t="shared" si="47"/>
        <v>115535.4</v>
      </c>
      <c r="E49" s="114">
        <f t="shared" si="47"/>
        <v>65234</v>
      </c>
      <c r="F49" s="114">
        <f t="shared" si="47"/>
        <v>180763</v>
      </c>
      <c r="G49" s="114">
        <f t="shared" si="47"/>
        <v>57153</v>
      </c>
      <c r="H49" s="114">
        <f t="shared" si="47"/>
        <v>237917</v>
      </c>
      <c r="I49" s="114">
        <f t="shared" si="47"/>
        <v>68335</v>
      </c>
      <c r="J49" s="114">
        <f t="shared" si="47"/>
        <v>73914</v>
      </c>
      <c r="K49" s="114">
        <f t="shared" si="47"/>
        <v>142249</v>
      </c>
      <c r="L49" s="114">
        <f>SUM(L37:L48)-2</f>
        <v>80048</v>
      </c>
      <c r="M49" s="114">
        <f t="shared" ref="M49:U49" si="48">SUM(M37:M48)</f>
        <v>222298</v>
      </c>
      <c r="N49" s="114">
        <f t="shared" si="48"/>
        <v>101784</v>
      </c>
      <c r="O49" s="115">
        <f t="shared" si="48"/>
        <v>324062</v>
      </c>
      <c r="P49" s="114">
        <f t="shared" si="48"/>
        <v>84514.75</v>
      </c>
      <c r="Q49" s="114">
        <f t="shared" si="48"/>
        <v>100391</v>
      </c>
      <c r="R49" s="114">
        <f t="shared" si="48"/>
        <v>186453.5</v>
      </c>
      <c r="S49" s="114">
        <f t="shared" si="48"/>
        <v>105189</v>
      </c>
      <c r="T49" s="116">
        <f t="shared" si="48"/>
        <v>290095</v>
      </c>
      <c r="U49" s="116">
        <f t="shared" si="48"/>
        <v>127377</v>
      </c>
      <c r="V49" s="116">
        <f>SUM(V37:V48)-1</f>
        <v>417472</v>
      </c>
      <c r="W49" s="116">
        <f t="shared" ref="W49:AA49" si="49">SUM(W37:W48)</f>
        <v>116503.5807</v>
      </c>
      <c r="X49" s="117">
        <f t="shared" si="49"/>
        <v>114222</v>
      </c>
      <c r="Y49" s="117">
        <f t="shared" si="49"/>
        <v>230727</v>
      </c>
      <c r="Z49" s="117">
        <f t="shared" si="49"/>
        <v>97747</v>
      </c>
      <c r="AA49" s="117">
        <f t="shared" si="49"/>
        <v>328474</v>
      </c>
      <c r="AB49" s="117">
        <f>SUM(AB37:AB48)-1</f>
        <v>103582</v>
      </c>
      <c r="AC49" s="117">
        <f t="shared" ref="AC49:AD49" si="50">SUM(AC37:AC48)+1</f>
        <v>432056</v>
      </c>
      <c r="AD49" s="117">
        <f t="shared" si="50"/>
        <v>84258</v>
      </c>
      <c r="AE49" s="117">
        <f>SUM(AE37:AE48)</f>
        <v>108697</v>
      </c>
      <c r="AF49" s="117">
        <f>SUM(AF37:AF48)-1</f>
        <v>192954</v>
      </c>
      <c r="AG49" s="117">
        <f t="shared" ref="AG49:AH49" si="51">SUM(AG37:AG48)</f>
        <v>121384</v>
      </c>
      <c r="AH49" s="117">
        <f t="shared" si="51"/>
        <v>314337</v>
      </c>
    </row>
    <row r="50" ht="12.0" customHeight="1">
      <c r="A50" s="4"/>
      <c r="B50" s="31" t="s">
        <v>124</v>
      </c>
      <c r="C50" s="118">
        <f t="shared" ref="C50:AH50" si="52">C49/C28</f>
        <v>0.2011731816</v>
      </c>
      <c r="D50" s="118">
        <f t="shared" si="52"/>
        <v>0.2577451554</v>
      </c>
      <c r="E50" s="118">
        <f t="shared" si="52"/>
        <v>0.2685665117</v>
      </c>
      <c r="F50" s="118">
        <f t="shared" si="52"/>
        <v>0.2615387064</v>
      </c>
      <c r="G50" s="118">
        <f t="shared" si="52"/>
        <v>0.2153734262</v>
      </c>
      <c r="H50" s="118">
        <f t="shared" si="52"/>
        <v>0.2487321214</v>
      </c>
      <c r="I50" s="118">
        <f t="shared" si="52"/>
        <v>0.2306339692</v>
      </c>
      <c r="J50" s="118">
        <f t="shared" si="52"/>
        <v>0.2344065152</v>
      </c>
      <c r="K50" s="118">
        <f t="shared" si="52"/>
        <v>0.2325789384</v>
      </c>
      <c r="L50" s="118">
        <f t="shared" si="52"/>
        <v>0.2129106046</v>
      </c>
      <c r="M50" s="118">
        <f t="shared" si="52"/>
        <v>0.2250922958</v>
      </c>
      <c r="N50" s="118">
        <f t="shared" si="52"/>
        <v>0.2228225415</v>
      </c>
      <c r="O50" s="119">
        <f t="shared" si="52"/>
        <v>0.2243606253</v>
      </c>
      <c r="P50" s="118">
        <f t="shared" si="52"/>
        <v>0.171822649</v>
      </c>
      <c r="Q50" s="118">
        <f t="shared" si="52"/>
        <v>0.1912154891</v>
      </c>
      <c r="R50" s="118">
        <f t="shared" si="52"/>
        <v>0.1833571478</v>
      </c>
      <c r="S50" s="118">
        <f t="shared" si="52"/>
        <v>0.1881674651</v>
      </c>
      <c r="T50" s="120">
        <f t="shared" si="52"/>
        <v>0.1840815278</v>
      </c>
      <c r="U50" s="120">
        <f t="shared" si="52"/>
        <v>0.2081986908</v>
      </c>
      <c r="V50" s="120">
        <f t="shared" si="52"/>
        <v>0.1908260236</v>
      </c>
      <c r="W50" s="120">
        <f t="shared" si="52"/>
        <v>0.1909922945</v>
      </c>
      <c r="X50" s="121">
        <f t="shared" si="52"/>
        <v>0.1997474783</v>
      </c>
      <c r="Y50" s="121">
        <f t="shared" si="52"/>
        <v>0.1952295773</v>
      </c>
      <c r="Z50" s="121">
        <f t="shared" si="52"/>
        <v>0.1847479507</v>
      </c>
      <c r="AA50" s="121">
        <f t="shared" si="52"/>
        <v>0.1919882261</v>
      </c>
      <c r="AB50" s="121">
        <f t="shared" si="52"/>
        <v>0.1982203001</v>
      </c>
      <c r="AC50" s="121">
        <f t="shared" si="52"/>
        <v>0.1934464192</v>
      </c>
      <c r="AD50" s="121">
        <f t="shared" si="52"/>
        <v>0.1609485224</v>
      </c>
      <c r="AE50" s="121">
        <f t="shared" si="52"/>
        <v>0.1921623189</v>
      </c>
      <c r="AF50" s="121">
        <f t="shared" si="52"/>
        <v>0.1771583815</v>
      </c>
      <c r="AG50" s="121">
        <f t="shared" si="52"/>
        <v>0.1951009387</v>
      </c>
      <c r="AH50" s="121">
        <f t="shared" si="52"/>
        <v>0.1836809108</v>
      </c>
    </row>
    <row r="51" ht="12.0" customHeight="1">
      <c r="A51" s="4"/>
      <c r="B51" s="36"/>
      <c r="C51" s="102"/>
      <c r="D51" s="102"/>
      <c r="E51" s="122"/>
      <c r="F51" s="122"/>
      <c r="G51" s="102"/>
      <c r="H51" s="102"/>
      <c r="I51" s="102"/>
      <c r="J51" s="102"/>
      <c r="K51" s="102"/>
      <c r="L51" s="122"/>
      <c r="M51" s="122"/>
      <c r="N51" s="122"/>
      <c r="O51" s="123"/>
      <c r="P51" s="122"/>
      <c r="Q51" s="122"/>
      <c r="R51" s="122"/>
      <c r="S51" s="122"/>
      <c r="T51" s="122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</row>
    <row r="52" ht="12.0" customHeight="1">
      <c r="A52" s="4"/>
      <c r="B52" s="31" t="s">
        <v>125</v>
      </c>
      <c r="C52" s="102"/>
      <c r="D52" s="102"/>
      <c r="E52" s="124"/>
      <c r="F52" s="32"/>
      <c r="G52" s="102"/>
      <c r="H52" s="102"/>
      <c r="I52" s="102"/>
      <c r="J52" s="102"/>
      <c r="K52" s="102"/>
      <c r="L52" s="124"/>
      <c r="M52" s="32"/>
      <c r="N52" s="125"/>
      <c r="O52" s="126"/>
      <c r="P52" s="125"/>
      <c r="Q52" s="125"/>
      <c r="R52" s="125"/>
      <c r="S52" s="125"/>
      <c r="T52" s="125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  <row r="53" ht="12.0" customHeight="1">
      <c r="A53" s="4"/>
      <c r="B53" s="36" t="s">
        <v>100</v>
      </c>
      <c r="C53" s="102">
        <f t="shared" ref="C53:AH53" si="53">C22</f>
        <v>56569</v>
      </c>
      <c r="D53" s="102">
        <f t="shared" si="53"/>
        <v>58713.2</v>
      </c>
      <c r="E53" s="102">
        <f t="shared" si="53"/>
        <v>39538</v>
      </c>
      <c r="F53" s="102">
        <f t="shared" si="53"/>
        <v>98253</v>
      </c>
      <c r="G53" s="102">
        <f t="shared" si="53"/>
        <v>29401</v>
      </c>
      <c r="H53" s="102">
        <f t="shared" si="53"/>
        <v>127654</v>
      </c>
      <c r="I53" s="102">
        <f t="shared" si="53"/>
        <v>39615</v>
      </c>
      <c r="J53" s="102">
        <f t="shared" si="53"/>
        <v>44722</v>
      </c>
      <c r="K53" s="102">
        <f t="shared" si="53"/>
        <v>84337</v>
      </c>
      <c r="L53" s="102">
        <f t="shared" si="53"/>
        <v>-2208</v>
      </c>
      <c r="M53" s="102">
        <f t="shared" si="53"/>
        <v>82129</v>
      </c>
      <c r="N53" s="102">
        <f t="shared" si="53"/>
        <v>43828</v>
      </c>
      <c r="O53" s="37">
        <f t="shared" si="53"/>
        <v>125957</v>
      </c>
      <c r="P53" s="102">
        <f t="shared" si="53"/>
        <v>29223</v>
      </c>
      <c r="Q53" s="102">
        <f t="shared" si="53"/>
        <v>25999</v>
      </c>
      <c r="R53" s="102">
        <f t="shared" si="53"/>
        <v>55222</v>
      </c>
      <c r="S53" s="102">
        <f t="shared" si="53"/>
        <v>40608</v>
      </c>
      <c r="T53" s="102">
        <f t="shared" si="53"/>
        <v>95830</v>
      </c>
      <c r="U53" s="102">
        <f t="shared" si="53"/>
        <v>30086</v>
      </c>
      <c r="V53" s="102">
        <f t="shared" si="53"/>
        <v>95710</v>
      </c>
      <c r="W53" s="102">
        <f t="shared" si="53"/>
        <v>43634</v>
      </c>
      <c r="X53" s="82">
        <f t="shared" si="53"/>
        <v>38968</v>
      </c>
      <c r="Y53" s="82">
        <f t="shared" si="53"/>
        <v>82603</v>
      </c>
      <c r="Z53" s="82">
        <f t="shared" si="53"/>
        <v>27047</v>
      </c>
      <c r="AA53" s="82">
        <f t="shared" si="53"/>
        <v>109650</v>
      </c>
      <c r="AB53" s="82">
        <f t="shared" si="53"/>
        <v>22924</v>
      </c>
      <c r="AC53" s="82">
        <f t="shared" si="53"/>
        <v>132573</v>
      </c>
      <c r="AD53" s="82">
        <f t="shared" si="53"/>
        <v>22409</v>
      </c>
      <c r="AE53" s="82">
        <f t="shared" si="53"/>
        <v>48508</v>
      </c>
      <c r="AF53" s="82">
        <f t="shared" si="53"/>
        <v>70917</v>
      </c>
      <c r="AG53" s="82">
        <f t="shared" si="53"/>
        <v>28573</v>
      </c>
      <c r="AH53" s="82">
        <f t="shared" si="53"/>
        <v>99490</v>
      </c>
    </row>
    <row r="54" ht="12.0" customHeight="1">
      <c r="A54" s="4"/>
      <c r="B54" s="83" t="s">
        <v>104</v>
      </c>
      <c r="C54" s="102"/>
      <c r="D54" s="102"/>
      <c r="E54" s="127"/>
      <c r="F54" s="128"/>
      <c r="G54" s="102"/>
      <c r="H54" s="102"/>
      <c r="I54" s="129"/>
      <c r="J54" s="102"/>
      <c r="K54" s="102"/>
      <c r="L54" s="127"/>
      <c r="M54" s="128"/>
      <c r="N54" s="129"/>
      <c r="O54" s="130"/>
      <c r="P54" s="129"/>
      <c r="Q54" s="129"/>
      <c r="R54" s="129"/>
      <c r="S54" s="129"/>
      <c r="T54" s="129"/>
      <c r="U54" s="129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ht="12.0" customHeight="1">
      <c r="A55" s="4"/>
      <c r="B55" s="85" t="s">
        <v>119</v>
      </c>
      <c r="C55" s="102">
        <v>0.0</v>
      </c>
      <c r="D55" s="102">
        <v>0.0</v>
      </c>
      <c r="E55" s="102">
        <v>0.0</v>
      </c>
      <c r="F55" s="102">
        <v>0.0</v>
      </c>
      <c r="G55" s="102">
        <v>0.0</v>
      </c>
      <c r="H55" s="102">
        <v>0.0</v>
      </c>
      <c r="I55" s="102">
        <v>0.0</v>
      </c>
      <c r="J55" s="102">
        <v>0.0</v>
      </c>
      <c r="K55" s="102">
        <v>0.0</v>
      </c>
      <c r="L55" s="106">
        <f t="shared" ref="L55:O55" si="54">L45</f>
        <v>21818</v>
      </c>
      <c r="M55" s="106">
        <f t="shared" si="54"/>
        <v>21818</v>
      </c>
      <c r="N55" s="102">
        <f t="shared" si="54"/>
        <v>77</v>
      </c>
      <c r="O55" s="37">
        <f t="shared" si="54"/>
        <v>21895</v>
      </c>
      <c r="P55" s="102">
        <v>0.0</v>
      </c>
      <c r="Q55" s="102">
        <v>0.0</v>
      </c>
      <c r="R55" s="102">
        <v>0.0</v>
      </c>
      <c r="S55" s="102">
        <v>0.0</v>
      </c>
      <c r="T55" s="102">
        <v>0.0</v>
      </c>
      <c r="U55" s="102">
        <v>0.0</v>
      </c>
      <c r="V55" s="102">
        <v>0.0</v>
      </c>
      <c r="W55" s="102">
        <v>0.0</v>
      </c>
      <c r="X55" s="82">
        <v>0.0</v>
      </c>
      <c r="Y55" s="82">
        <v>0.0</v>
      </c>
      <c r="Z55" s="82">
        <v>0.0</v>
      </c>
      <c r="AA55" s="82">
        <v>0.0</v>
      </c>
      <c r="AB55" s="82">
        <v>0.0</v>
      </c>
      <c r="AC55" s="131">
        <f t="shared" ref="AC55:AF55" si="55">SUM(AA55:AB55)</f>
        <v>0</v>
      </c>
      <c r="AD55" s="131">
        <f t="shared" si="55"/>
        <v>0</v>
      </c>
      <c r="AE55" s="131">
        <f t="shared" si="55"/>
        <v>0</v>
      </c>
      <c r="AF55" s="131">
        <f t="shared" si="55"/>
        <v>0</v>
      </c>
      <c r="AG55" s="132">
        <v>0.0</v>
      </c>
      <c r="AH55" s="132">
        <v>0.0</v>
      </c>
    </row>
    <row r="56" ht="12.0" customHeight="1">
      <c r="A56" s="4"/>
      <c r="B56" s="85" t="s">
        <v>117</v>
      </c>
      <c r="C56" s="102">
        <v>858.0</v>
      </c>
      <c r="D56" s="102">
        <v>0.0</v>
      </c>
      <c r="E56" s="133">
        <v>320.0</v>
      </c>
      <c r="F56" s="133">
        <v>320.0</v>
      </c>
      <c r="G56" s="133">
        <f>G43</f>
        <v>108</v>
      </c>
      <c r="H56" s="133">
        <v>446.0</v>
      </c>
      <c r="I56" s="102">
        <f t="shared" ref="I56:J56" si="56">I43</f>
        <v>225</v>
      </c>
      <c r="J56" s="102">
        <f t="shared" si="56"/>
        <v>237</v>
      </c>
      <c r="K56" s="102">
        <v>462.0</v>
      </c>
      <c r="L56" s="102">
        <f t="shared" ref="L56:O56" si="57">L43</f>
        <v>4895</v>
      </c>
      <c r="M56" s="102">
        <f t="shared" si="57"/>
        <v>5357</v>
      </c>
      <c r="N56" s="102">
        <f t="shared" si="57"/>
        <v>3821</v>
      </c>
      <c r="O56" s="37">
        <f t="shared" si="57"/>
        <v>2200</v>
      </c>
      <c r="P56" s="102">
        <v>0.0</v>
      </c>
      <c r="Q56" s="102">
        <v>0.0</v>
      </c>
      <c r="R56" s="102">
        <v>0.0</v>
      </c>
      <c r="S56" s="102">
        <v>0.0</v>
      </c>
      <c r="T56" s="102">
        <v>0.0</v>
      </c>
      <c r="U56" s="102">
        <v>0.0</v>
      </c>
      <c r="V56" s="102">
        <v>0.0</v>
      </c>
      <c r="W56" s="102">
        <v>0.0</v>
      </c>
      <c r="X56" s="82">
        <v>0.0</v>
      </c>
      <c r="Y56" s="82">
        <v>0.0</v>
      </c>
      <c r="Z56" s="82">
        <v>0.0</v>
      </c>
      <c r="AA56" s="82">
        <v>0.0</v>
      </c>
      <c r="AB56" s="82">
        <v>0.0</v>
      </c>
      <c r="AC56" s="131">
        <f t="shared" ref="AC56:AD56" si="58">SUM(AA56:AB56)</f>
        <v>0</v>
      </c>
      <c r="AD56" s="131">
        <f t="shared" si="58"/>
        <v>0</v>
      </c>
      <c r="AE56" s="131"/>
      <c r="AF56" s="131">
        <f t="shared" ref="AF56:AH56" si="59">SUM(AD56:AE56)</f>
        <v>0</v>
      </c>
      <c r="AG56" s="131">
        <f t="shared" si="59"/>
        <v>0</v>
      </c>
      <c r="AH56" s="131">
        <f t="shared" si="59"/>
        <v>0</v>
      </c>
    </row>
    <row r="57" ht="12.0" customHeight="1">
      <c r="A57" s="4"/>
      <c r="B57" s="85" t="s">
        <v>120</v>
      </c>
      <c r="C57" s="102">
        <v>0.0</v>
      </c>
      <c r="D57" s="102">
        <v>0.0</v>
      </c>
      <c r="E57" s="102">
        <v>0.0</v>
      </c>
      <c r="F57" s="102">
        <v>0.0</v>
      </c>
      <c r="G57" s="102">
        <v>0.0</v>
      </c>
      <c r="H57" s="102">
        <v>0.0</v>
      </c>
      <c r="I57" s="102">
        <v>0.0</v>
      </c>
      <c r="J57" s="102">
        <v>0.0</v>
      </c>
      <c r="K57" s="102">
        <v>0.0</v>
      </c>
      <c r="L57" s="102">
        <v>0.0</v>
      </c>
      <c r="M57" s="102">
        <v>0.0</v>
      </c>
      <c r="N57" s="102">
        <v>0.0</v>
      </c>
      <c r="O57" s="37">
        <v>0.0</v>
      </c>
      <c r="P57" s="133">
        <v>10323.0</v>
      </c>
      <c r="Q57" s="133">
        <v>26255.0</v>
      </c>
      <c r="R57" s="133">
        <v>36578.0</v>
      </c>
      <c r="S57" s="133">
        <v>26743.0</v>
      </c>
      <c r="T57" s="133">
        <v>63321.0</v>
      </c>
      <c r="U57" s="133">
        <v>24400.0</v>
      </c>
      <c r="V57" s="87">
        <v>87721.0</v>
      </c>
      <c r="W57" s="87">
        <v>14836.0</v>
      </c>
      <c r="X57" s="87">
        <v>15274.0</v>
      </c>
      <c r="Y57" s="87">
        <v>30110.0</v>
      </c>
      <c r="Z57" s="87">
        <v>9376.0</v>
      </c>
      <c r="AA57" s="87">
        <v>39486.0</v>
      </c>
      <c r="AB57" s="87">
        <v>11231.0</v>
      </c>
      <c r="AC57" s="87">
        <f t="shared" ref="AC57:AC58" si="60">SUM(AA57:AB57)</f>
        <v>50717</v>
      </c>
      <c r="AD57" s="87">
        <v>12144.0</v>
      </c>
      <c r="AE57" s="88">
        <v>12587.0</v>
      </c>
      <c r="AF57" s="87">
        <f>SUM(AD57:AE57)</f>
        <v>24731</v>
      </c>
      <c r="AG57" s="88">
        <v>15053.0</v>
      </c>
      <c r="AH57" s="87">
        <f>SUM(AF57:AG57)</f>
        <v>39784</v>
      </c>
    </row>
    <row r="58" ht="12.0" customHeight="1">
      <c r="A58" s="4"/>
      <c r="B58" s="85" t="s">
        <v>121</v>
      </c>
      <c r="C58" s="102">
        <v>0.0</v>
      </c>
      <c r="D58" s="102">
        <v>0.0</v>
      </c>
      <c r="E58" s="102">
        <v>0.0</v>
      </c>
      <c r="F58" s="102">
        <v>0.0</v>
      </c>
      <c r="G58" s="102">
        <v>0.0</v>
      </c>
      <c r="H58" s="102">
        <v>0.0</v>
      </c>
      <c r="I58" s="102">
        <v>0.0</v>
      </c>
      <c r="J58" s="102">
        <v>0.0</v>
      </c>
      <c r="K58" s="102">
        <v>0.0</v>
      </c>
      <c r="L58" s="102">
        <v>0.0</v>
      </c>
      <c r="M58" s="102">
        <v>0.0</v>
      </c>
      <c r="N58" s="102">
        <v>0.0</v>
      </c>
      <c r="O58" s="102">
        <v>0.0</v>
      </c>
      <c r="P58" s="102">
        <v>0.0</v>
      </c>
      <c r="Q58" s="102">
        <v>0.0</v>
      </c>
      <c r="R58" s="102">
        <v>0.0</v>
      </c>
      <c r="S58" s="102">
        <v>0.0</v>
      </c>
      <c r="T58" s="102">
        <v>0.0</v>
      </c>
      <c r="U58" s="102">
        <v>0.0</v>
      </c>
      <c r="V58" s="102">
        <v>0.0</v>
      </c>
      <c r="W58" s="44" t="s">
        <v>46</v>
      </c>
      <c r="X58" s="44" t="s">
        <v>46</v>
      </c>
      <c r="Y58" s="82">
        <v>0.0</v>
      </c>
      <c r="Z58" s="44" t="s">
        <v>46</v>
      </c>
      <c r="AA58" s="131">
        <f>SUM(Y58:Z58)</f>
        <v>0</v>
      </c>
      <c r="AB58" s="87">
        <v>20997.0</v>
      </c>
      <c r="AC58" s="87">
        <f t="shared" si="60"/>
        <v>20997</v>
      </c>
      <c r="AD58" s="87">
        <v>5758.0</v>
      </c>
      <c r="AE58" s="88">
        <v>428.0</v>
      </c>
      <c r="AF58" s="87">
        <f>SUM(AD58:AE58)+1</f>
        <v>6187</v>
      </c>
      <c r="AG58" s="88">
        <v>5401.0</v>
      </c>
      <c r="AH58" s="88">
        <v>11587.0</v>
      </c>
    </row>
    <row r="59" ht="12.0" customHeight="1">
      <c r="A59" s="4"/>
      <c r="B59" s="85" t="s">
        <v>126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>
        <f t="shared" ref="W59:AD59" si="61">W42</f>
        <v>5393.442</v>
      </c>
      <c r="X59" s="82">
        <f t="shared" si="61"/>
        <v>9719</v>
      </c>
      <c r="Y59" s="82">
        <f t="shared" si="61"/>
        <v>15112</v>
      </c>
      <c r="Z59" s="82">
        <f t="shared" si="61"/>
        <v>6627</v>
      </c>
      <c r="AA59" s="82">
        <f t="shared" si="61"/>
        <v>21740</v>
      </c>
      <c r="AB59" s="82">
        <f t="shared" si="61"/>
        <v>6376</v>
      </c>
      <c r="AC59" s="82">
        <f t="shared" si="61"/>
        <v>28116</v>
      </c>
      <c r="AD59" s="82">
        <f t="shared" si="61"/>
        <v>3772</v>
      </c>
      <c r="AE59" s="109">
        <v>6679.0</v>
      </c>
      <c r="AF59" s="82">
        <f t="shared" ref="AF59:AF61" si="62">SUM(AD59:AE59)</f>
        <v>10451</v>
      </c>
      <c r="AG59" s="109">
        <v>10848.0</v>
      </c>
      <c r="AH59" s="87">
        <f t="shared" ref="AH59:AH61" si="63">SUM(AF59:AG59)</f>
        <v>21299</v>
      </c>
    </row>
    <row r="60" ht="12.0" customHeight="1">
      <c r="A60" s="4"/>
      <c r="B60" s="85" t="s">
        <v>127</v>
      </c>
      <c r="C60" s="102">
        <v>0.0</v>
      </c>
      <c r="D60" s="102">
        <v>0.0</v>
      </c>
      <c r="E60" s="102">
        <v>0.0</v>
      </c>
      <c r="F60" s="102">
        <v>0.0</v>
      </c>
      <c r="G60" s="102">
        <v>0.0</v>
      </c>
      <c r="H60" s="102">
        <v>0.0</v>
      </c>
      <c r="I60" s="102">
        <v>0.0</v>
      </c>
      <c r="J60" s="102">
        <v>0.0</v>
      </c>
      <c r="K60" s="102">
        <v>0.0</v>
      </c>
      <c r="L60" s="102">
        <v>0.0</v>
      </c>
      <c r="M60" s="102">
        <v>0.0</v>
      </c>
      <c r="N60" s="102">
        <v>0.0</v>
      </c>
      <c r="O60" s="102">
        <v>0.0</v>
      </c>
      <c r="P60" s="37"/>
      <c r="Q60" s="37"/>
      <c r="R60" s="37">
        <f>SUM(P60:Q60)</f>
        <v>0</v>
      </c>
      <c r="S60" s="37"/>
      <c r="T60" s="37">
        <f>SUM(R60:S60)</f>
        <v>0</v>
      </c>
      <c r="U60" s="37"/>
      <c r="V60" s="40">
        <v>-13970.0</v>
      </c>
      <c r="W60" s="37">
        <f>-1445850.6/1000</f>
        <v>-1445.8506</v>
      </c>
      <c r="X60" s="37">
        <f>(-2145567.86/1000)-2</f>
        <v>-2147.56786</v>
      </c>
      <c r="Y60" s="37">
        <f>SUM(W60:X60)</f>
        <v>-3593.41846</v>
      </c>
      <c r="Z60" s="37">
        <f>-523224.73/1000</f>
        <v>-523.22473</v>
      </c>
      <c r="AA60" s="37">
        <f>SUM(Y60:Z60)</f>
        <v>-4116.64319</v>
      </c>
      <c r="AB60" s="37">
        <f>-6275722.0624/1000</f>
        <v>-6275.722062</v>
      </c>
      <c r="AC60" s="37">
        <v>-10341.0</v>
      </c>
      <c r="AD60" s="37">
        <v>-2335.0</v>
      </c>
      <c r="AE60" s="40">
        <v>-2774.0</v>
      </c>
      <c r="AF60" s="37">
        <f t="shared" si="62"/>
        <v>-5109</v>
      </c>
      <c r="AG60" s="40">
        <v>-3359.0</v>
      </c>
      <c r="AH60" s="40">
        <f t="shared" si="63"/>
        <v>-8468</v>
      </c>
    </row>
    <row r="61" ht="12.0" customHeight="1">
      <c r="A61" s="4"/>
      <c r="B61" s="85" t="s">
        <v>122</v>
      </c>
      <c r="C61" s="102">
        <v>14891.0</v>
      </c>
      <c r="D61" s="102">
        <v>0.0</v>
      </c>
      <c r="E61" s="102">
        <v>0.0</v>
      </c>
      <c r="F61" s="102">
        <v>0.0</v>
      </c>
      <c r="G61" s="102">
        <v>0.0</v>
      </c>
      <c r="H61" s="133">
        <v>-18.0</v>
      </c>
      <c r="I61" s="102">
        <v>0.0</v>
      </c>
      <c r="J61" s="102">
        <v>0.0</v>
      </c>
      <c r="K61" s="102">
        <v>0.0</v>
      </c>
      <c r="L61" s="102">
        <v>0.0</v>
      </c>
      <c r="M61" s="102">
        <v>0.0</v>
      </c>
      <c r="N61" s="102">
        <v>0.0</v>
      </c>
      <c r="O61" s="102">
        <v>0.0</v>
      </c>
      <c r="P61" s="102">
        <v>0.0</v>
      </c>
      <c r="Q61" s="102">
        <v>0.0</v>
      </c>
      <c r="R61" s="102">
        <v>0.0</v>
      </c>
      <c r="S61" s="102">
        <v>0.0</v>
      </c>
      <c r="T61" s="102">
        <v>0.0</v>
      </c>
      <c r="U61" s="102">
        <v>0.0</v>
      </c>
      <c r="V61" s="102">
        <v>0.0</v>
      </c>
      <c r="W61" s="102">
        <v>0.0</v>
      </c>
      <c r="X61" s="82">
        <v>0.0</v>
      </c>
      <c r="Y61" s="82">
        <v>0.0</v>
      </c>
      <c r="Z61" s="82">
        <v>0.0</v>
      </c>
      <c r="AA61" s="82">
        <v>0.0</v>
      </c>
      <c r="AB61" s="82">
        <v>0.0</v>
      </c>
      <c r="AC61" s="131">
        <f>SUM(AA61:AB61)</f>
        <v>0</v>
      </c>
      <c r="AD61" s="131">
        <v>0.0</v>
      </c>
      <c r="AE61" s="132">
        <v>0.0</v>
      </c>
      <c r="AF61" s="131">
        <f t="shared" si="62"/>
        <v>0</v>
      </c>
      <c r="AG61" s="132">
        <v>0.0</v>
      </c>
      <c r="AH61" s="87">
        <f t="shared" si="63"/>
        <v>0</v>
      </c>
    </row>
    <row r="62" ht="12.0" customHeight="1">
      <c r="A62" s="4"/>
      <c r="B62" s="31" t="s">
        <v>128</v>
      </c>
      <c r="C62" s="134">
        <f t="shared" ref="C62:K62" si="64">SUM(C53:C61)</f>
        <v>72318</v>
      </c>
      <c r="D62" s="134">
        <f t="shared" si="64"/>
        <v>58713.2</v>
      </c>
      <c r="E62" s="134">
        <f t="shared" si="64"/>
        <v>39858</v>
      </c>
      <c r="F62" s="134">
        <f t="shared" si="64"/>
        <v>98573</v>
      </c>
      <c r="G62" s="134">
        <f t="shared" si="64"/>
        <v>29509</v>
      </c>
      <c r="H62" s="134">
        <f t="shared" si="64"/>
        <v>128082</v>
      </c>
      <c r="I62" s="134">
        <f t="shared" si="64"/>
        <v>39840</v>
      </c>
      <c r="J62" s="134">
        <f t="shared" si="64"/>
        <v>44959</v>
      </c>
      <c r="K62" s="134">
        <f t="shared" si="64"/>
        <v>84799</v>
      </c>
      <c r="L62" s="134">
        <f>SUM(L53:L61)-1</f>
        <v>24504</v>
      </c>
      <c r="M62" s="134">
        <f t="shared" ref="M62:W62" si="65">SUM(M53:M61)</f>
        <v>109304</v>
      </c>
      <c r="N62" s="134">
        <f t="shared" si="65"/>
        <v>47726</v>
      </c>
      <c r="O62" s="134">
        <f t="shared" si="65"/>
        <v>150052</v>
      </c>
      <c r="P62" s="134">
        <f t="shared" si="65"/>
        <v>39546</v>
      </c>
      <c r="Q62" s="134">
        <f t="shared" si="65"/>
        <v>52254</v>
      </c>
      <c r="R62" s="134">
        <f t="shared" si="65"/>
        <v>91800</v>
      </c>
      <c r="S62" s="134">
        <f t="shared" si="65"/>
        <v>67351</v>
      </c>
      <c r="T62" s="134">
        <f t="shared" si="65"/>
        <v>159151</v>
      </c>
      <c r="U62" s="134">
        <f t="shared" si="65"/>
        <v>54486</v>
      </c>
      <c r="V62" s="134">
        <f t="shared" si="65"/>
        <v>169461</v>
      </c>
      <c r="W62" s="134">
        <f t="shared" si="65"/>
        <v>62417.5914</v>
      </c>
      <c r="X62" s="135">
        <f>SUM(X53:X61)+1</f>
        <v>61814.43214</v>
      </c>
      <c r="Y62" s="135">
        <f>SUM(Y53:Y61)-1</f>
        <v>124230.5815</v>
      </c>
      <c r="Z62" s="135">
        <f t="shared" ref="Z62:AA62" si="66">SUM(Z53:Z61)</f>
        <v>42526.77527</v>
      </c>
      <c r="AA62" s="135">
        <f t="shared" si="66"/>
        <v>166759.3568</v>
      </c>
      <c r="AB62" s="135">
        <f>SUM(AB53:AB61)-1</f>
        <v>55251.27794</v>
      </c>
      <c r="AC62" s="135">
        <f>SUM(AC53:AC61)</f>
        <v>222062</v>
      </c>
      <c r="AD62" s="135">
        <f>SUM(AD53:AD61)+1</f>
        <v>41749</v>
      </c>
      <c r="AE62" s="135">
        <f t="shared" ref="AE62:AH62" si="67">SUM(AE53:AE61)</f>
        <v>65428</v>
      </c>
      <c r="AF62" s="135">
        <f t="shared" si="67"/>
        <v>107177</v>
      </c>
      <c r="AG62" s="135">
        <f t="shared" si="67"/>
        <v>56516</v>
      </c>
      <c r="AH62" s="135">
        <f t="shared" si="67"/>
        <v>163692</v>
      </c>
    </row>
    <row r="63" ht="12.0" customHeight="1">
      <c r="A63" s="4"/>
      <c r="B63" s="31" t="s">
        <v>129</v>
      </c>
      <c r="C63" s="118">
        <f t="shared" ref="C63:AH63" si="68">C62/C28</f>
        <v>0.1068002889</v>
      </c>
      <c r="D63" s="118">
        <f t="shared" si="68"/>
        <v>0.130981871</v>
      </c>
      <c r="E63" s="118">
        <f t="shared" si="68"/>
        <v>0.1640942457</v>
      </c>
      <c r="F63" s="118">
        <f t="shared" si="68"/>
        <v>0.1426213047</v>
      </c>
      <c r="G63" s="118">
        <f t="shared" si="68"/>
        <v>0.1112007145</v>
      </c>
      <c r="H63" s="118">
        <f t="shared" si="68"/>
        <v>0.1339042925</v>
      </c>
      <c r="I63" s="118">
        <f t="shared" si="68"/>
        <v>0.1344619497</v>
      </c>
      <c r="J63" s="118">
        <f t="shared" si="68"/>
        <v>0.1425803301</v>
      </c>
      <c r="K63" s="118">
        <f t="shared" si="68"/>
        <v>0.138647452</v>
      </c>
      <c r="L63" s="118">
        <f t="shared" si="68"/>
        <v>0.06517541293</v>
      </c>
      <c r="M63" s="118">
        <f t="shared" si="68"/>
        <v>0.1106779561</v>
      </c>
      <c r="N63" s="118">
        <f t="shared" si="68"/>
        <v>0.1044803566</v>
      </c>
      <c r="O63" s="118">
        <f t="shared" si="68"/>
        <v>0.1038867888</v>
      </c>
      <c r="P63" s="118">
        <f t="shared" si="68"/>
        <v>0.08039896558</v>
      </c>
      <c r="Q63" s="118">
        <f t="shared" si="68"/>
        <v>0.0995285849</v>
      </c>
      <c r="R63" s="118">
        <f t="shared" si="68"/>
        <v>0.09027551734</v>
      </c>
      <c r="S63" s="118">
        <f t="shared" si="68"/>
        <v>0.1204809147</v>
      </c>
      <c r="T63" s="118">
        <f t="shared" si="68"/>
        <v>0.1009902247</v>
      </c>
      <c r="U63" s="118">
        <f t="shared" si="68"/>
        <v>0.08905778802</v>
      </c>
      <c r="V63" s="118">
        <f t="shared" si="68"/>
        <v>0.07746044951</v>
      </c>
      <c r="W63" s="118">
        <f t="shared" si="68"/>
        <v>0.10232543</v>
      </c>
      <c r="X63" s="97">
        <f t="shared" si="68"/>
        <v>0.1080989384</v>
      </c>
      <c r="Y63" s="97">
        <f t="shared" si="68"/>
        <v>0.1051176669</v>
      </c>
      <c r="Z63" s="97">
        <f t="shared" si="68"/>
        <v>0.08037826819</v>
      </c>
      <c r="AA63" s="97">
        <f t="shared" si="68"/>
        <v>0.09746839355</v>
      </c>
      <c r="AB63" s="97">
        <f t="shared" si="68"/>
        <v>0.1057319311</v>
      </c>
      <c r="AC63" s="97">
        <f t="shared" si="68"/>
        <v>0.09942484014</v>
      </c>
      <c r="AD63" s="97">
        <f t="shared" si="68"/>
        <v>0.07974839019</v>
      </c>
      <c r="AE63" s="97">
        <f t="shared" si="68"/>
        <v>0.1156682908</v>
      </c>
      <c r="AF63" s="97">
        <f t="shared" si="68"/>
        <v>0.09840326637</v>
      </c>
      <c r="AG63" s="97">
        <f t="shared" si="68"/>
        <v>0.09083836955</v>
      </c>
      <c r="AH63" s="97">
        <f t="shared" si="68"/>
        <v>0.09565242289</v>
      </c>
    </row>
    <row r="64" ht="12.0" customHeight="1">
      <c r="A64" s="76"/>
      <c r="B64" s="76"/>
      <c r="C64" s="136"/>
      <c r="D64" s="137"/>
      <c r="E64" s="137"/>
      <c r="F64" s="137"/>
      <c r="G64" s="136"/>
      <c r="H64" s="136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</row>
    <row r="65" ht="12.0" customHeight="1">
      <c r="A65" s="4"/>
      <c r="B65" s="3" t="s">
        <v>130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9"/>
      <c r="O65" s="49"/>
      <c r="P65" s="49"/>
      <c r="Q65" s="49"/>
      <c r="R65" s="49"/>
      <c r="S65" s="49"/>
      <c r="T65" s="49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</row>
    <row r="66" ht="12.0" customHeight="1">
      <c r="A66" s="4"/>
      <c r="B66" s="4" t="s">
        <v>131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4"/>
      <c r="O66" s="44"/>
      <c r="P66" s="44"/>
      <c r="Q66" s="44"/>
      <c r="R66" s="44"/>
      <c r="S66" s="87">
        <v>6887.0</v>
      </c>
      <c r="T66" s="87">
        <v>6887.0</v>
      </c>
      <c r="U66" s="87">
        <v>6904.0</v>
      </c>
      <c r="V66" s="87">
        <v>6904.0</v>
      </c>
      <c r="W66" s="87">
        <v>6522.0</v>
      </c>
      <c r="X66" s="87">
        <v>6195.0</v>
      </c>
      <c r="Y66" s="87">
        <v>6195.0</v>
      </c>
      <c r="Z66" s="87">
        <v>6114.0</v>
      </c>
      <c r="AA66" s="87">
        <v>6114.0</v>
      </c>
      <c r="AB66" s="87">
        <v>6111.0</v>
      </c>
      <c r="AC66" s="87">
        <v>6111.0</v>
      </c>
      <c r="AD66" s="87">
        <v>6086.0</v>
      </c>
      <c r="AE66" s="88">
        <v>6235.0</v>
      </c>
      <c r="AF66" s="88">
        <v>6235.0</v>
      </c>
      <c r="AG66" s="88">
        <v>6755.0</v>
      </c>
      <c r="AH66" s="88">
        <v>6755.0</v>
      </c>
    </row>
    <row r="67" ht="12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</row>
    <row r="68" ht="12.0" customHeight="1">
      <c r="A68" s="4"/>
      <c r="B68" s="4" t="s">
        <v>132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</row>
    <row r="69" ht="12.0" customHeight="1">
      <c r="A69" s="4"/>
      <c r="B69" s="138" t="s">
        <v>133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</row>
    <row r="70" ht="12.0" customHeight="1">
      <c r="A70" s="4"/>
      <c r="B70" s="138" t="s">
        <v>134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</row>
  </sheetData>
  <conditionalFormatting sqref="A1:AH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3.38"/>
    <col customWidth="1" min="2" max="2" width="44.0"/>
    <col customWidth="1" min="3" max="19" width="16.38"/>
  </cols>
  <sheetData>
    <row r="1" ht="12.0" customHeight="1">
      <c r="A1" s="1" t="s">
        <v>0</v>
      </c>
      <c r="B1" s="1"/>
      <c r="C1" s="1"/>
      <c r="D1" s="1"/>
      <c r="E1" s="2"/>
      <c r="F1" s="2"/>
      <c r="G1" s="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ht="12.0" customHeight="1">
      <c r="A2" s="3" t="s">
        <v>1</v>
      </c>
      <c r="B2" s="4"/>
      <c r="C2" s="3"/>
      <c r="D2" s="3"/>
      <c r="E2" s="4"/>
      <c r="F2" s="4"/>
      <c r="G2" s="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12.0" customHeight="1">
      <c r="A3" s="4"/>
      <c r="B3" s="3"/>
      <c r="C3" s="4"/>
      <c r="D3" s="4"/>
      <c r="E3" s="3"/>
      <c r="F3" s="3"/>
      <c r="G3" s="139"/>
      <c r="H3" s="44"/>
      <c r="I3" s="44"/>
      <c r="J3" s="44"/>
      <c r="K3" s="44"/>
      <c r="L3" s="5" t="s">
        <v>2</v>
      </c>
      <c r="M3" s="5" t="s">
        <v>2</v>
      </c>
      <c r="N3" s="5" t="s">
        <v>2</v>
      </c>
      <c r="O3" s="5" t="s">
        <v>2</v>
      </c>
      <c r="P3" s="44"/>
      <c r="Q3" s="44"/>
      <c r="R3" s="44"/>
      <c r="S3" s="44"/>
    </row>
    <row r="4" ht="12.0" customHeight="1">
      <c r="A4" s="4"/>
      <c r="B4" s="4"/>
      <c r="C4" s="140">
        <v>43830.0</v>
      </c>
      <c r="D4" s="140">
        <v>44196.0</v>
      </c>
      <c r="E4" s="140">
        <v>44286.0</v>
      </c>
      <c r="F4" s="140">
        <v>44377.0</v>
      </c>
      <c r="G4" s="140">
        <v>44469.0</v>
      </c>
      <c r="H4" s="140">
        <v>44561.0</v>
      </c>
      <c r="I4" s="140">
        <v>44651.0</v>
      </c>
      <c r="J4" s="140">
        <v>44742.0</v>
      </c>
      <c r="K4" s="140">
        <v>44834.0</v>
      </c>
      <c r="L4" s="140">
        <v>44926.0</v>
      </c>
      <c r="M4" s="140">
        <v>45016.0</v>
      </c>
      <c r="N4" s="140">
        <v>45107.0</v>
      </c>
      <c r="O4" s="140">
        <v>45199.0</v>
      </c>
      <c r="P4" s="140">
        <v>45291.0</v>
      </c>
      <c r="Q4" s="140">
        <v>45382.0</v>
      </c>
      <c r="R4" s="140">
        <v>45473.0</v>
      </c>
      <c r="S4" s="140">
        <v>45565.0</v>
      </c>
    </row>
    <row r="5" ht="12.0" customHeight="1">
      <c r="A5" s="4"/>
      <c r="B5" s="141" t="s">
        <v>135</v>
      </c>
      <c r="C5" s="142"/>
      <c r="D5" s="142"/>
      <c r="E5" s="143"/>
      <c r="F5" s="142"/>
      <c r="G5" s="144"/>
      <c r="H5" s="144"/>
      <c r="I5" s="144"/>
      <c r="J5" s="144"/>
      <c r="K5" s="144"/>
      <c r="L5" s="144"/>
      <c r="M5" s="144"/>
      <c r="N5" s="145"/>
      <c r="O5" s="145"/>
      <c r="P5" s="145"/>
      <c r="Q5" s="145"/>
      <c r="R5" s="145"/>
      <c r="S5" s="145"/>
    </row>
    <row r="6" ht="12.0" customHeight="1">
      <c r="A6" s="4"/>
      <c r="B6" s="139" t="s">
        <v>100</v>
      </c>
      <c r="C6" s="146">
        <v>56569.0</v>
      </c>
      <c r="D6" s="146">
        <v>127654.0</v>
      </c>
      <c r="E6" s="18">
        <v>39612.0</v>
      </c>
      <c r="F6" s="18">
        <v>84337.0</v>
      </c>
      <c r="G6" s="18">
        <v>82129.0</v>
      </c>
      <c r="H6" s="18">
        <v>125957.0</v>
      </c>
      <c r="I6" s="18">
        <v>29223.0</v>
      </c>
      <c r="J6" s="18">
        <v>55222.0</v>
      </c>
      <c r="K6" s="18">
        <v>95830.0</v>
      </c>
      <c r="L6" s="18">
        <v>95710.0</v>
      </c>
      <c r="M6" s="18">
        <f>52382-38954</f>
        <v>13428</v>
      </c>
      <c r="N6" s="19">
        <v>82603.0</v>
      </c>
      <c r="O6" s="18">
        <f>136383-56939</f>
        <v>79444</v>
      </c>
      <c r="P6" s="18">
        <v>132573.0</v>
      </c>
      <c r="Q6" s="18">
        <v>22409.0</v>
      </c>
      <c r="R6" s="19">
        <v>70917.0</v>
      </c>
      <c r="S6" s="19">
        <v>99490.0</v>
      </c>
    </row>
    <row r="7" ht="12.0" customHeight="1">
      <c r="A7" s="4"/>
      <c r="B7" s="147" t="s">
        <v>136</v>
      </c>
      <c r="C7" s="142"/>
      <c r="D7" s="142"/>
      <c r="E7" s="148"/>
      <c r="F7" s="148"/>
      <c r="G7" s="148"/>
      <c r="H7" s="148"/>
      <c r="I7" s="148"/>
      <c r="J7" s="148"/>
      <c r="K7" s="148"/>
      <c r="L7" s="148"/>
      <c r="M7" s="148"/>
      <c r="N7" s="149"/>
      <c r="O7" s="149"/>
      <c r="P7" s="149"/>
      <c r="Q7" s="149"/>
      <c r="R7" s="149"/>
      <c r="S7" s="149"/>
    </row>
    <row r="8" ht="12.0" customHeight="1">
      <c r="A8" s="4"/>
      <c r="B8" s="150" t="s">
        <v>137</v>
      </c>
      <c r="C8" s="80">
        <v>25577.0</v>
      </c>
      <c r="D8" s="80">
        <v>29882.0</v>
      </c>
      <c r="E8" s="17">
        <v>7795.0</v>
      </c>
      <c r="F8" s="17">
        <v>16019.0</v>
      </c>
      <c r="G8" s="17">
        <v>30102.0</v>
      </c>
      <c r="H8" s="17">
        <v>48354.0</v>
      </c>
      <c r="I8" s="17">
        <v>19390.0</v>
      </c>
      <c r="J8" s="17">
        <v>43596.0</v>
      </c>
      <c r="K8" s="17">
        <v>67154.0</v>
      </c>
      <c r="L8" s="17">
        <v>94558.0</v>
      </c>
      <c r="M8" s="17">
        <v>25053.0</v>
      </c>
      <c r="N8" s="18">
        <v>48109.0</v>
      </c>
      <c r="O8" s="18">
        <v>70980.0</v>
      </c>
      <c r="P8" s="18">
        <v>93213.0</v>
      </c>
      <c r="Q8" s="18">
        <v>21876.0</v>
      </c>
      <c r="R8" s="19">
        <v>45262.0</v>
      </c>
      <c r="S8" s="19">
        <v>69119.0</v>
      </c>
    </row>
    <row r="9" ht="12.0" customHeight="1">
      <c r="A9" s="4"/>
      <c r="B9" s="150" t="s">
        <v>138</v>
      </c>
      <c r="C9" s="80">
        <v>567.0</v>
      </c>
      <c r="D9" s="80">
        <v>689.0</v>
      </c>
      <c r="E9" s="17">
        <v>81.0</v>
      </c>
      <c r="F9" s="17">
        <v>448.0</v>
      </c>
      <c r="G9" s="17">
        <v>338.0</v>
      </c>
      <c r="H9" s="17">
        <v>1237.0</v>
      </c>
      <c r="I9" s="17">
        <v>1926.0</v>
      </c>
      <c r="J9" s="17">
        <v>2025.0</v>
      </c>
      <c r="K9" s="17">
        <v>2137.0</v>
      </c>
      <c r="L9" s="17">
        <v>3781.0</v>
      </c>
      <c r="M9" s="17">
        <v>-95.0</v>
      </c>
      <c r="N9" s="18">
        <v>195.0</v>
      </c>
      <c r="O9" s="18">
        <v>875.0</v>
      </c>
      <c r="P9" s="18">
        <v>1689.0</v>
      </c>
      <c r="Q9" s="18">
        <v>326.0</v>
      </c>
      <c r="R9" s="19">
        <v>373.0</v>
      </c>
      <c r="S9" s="19">
        <v>2768.0</v>
      </c>
    </row>
    <row r="10" ht="12.0" customHeight="1">
      <c r="A10" s="4"/>
      <c r="B10" s="150" t="s">
        <v>139</v>
      </c>
      <c r="C10" s="80">
        <v>2971.0</v>
      </c>
      <c r="D10" s="80">
        <v>7789.0</v>
      </c>
      <c r="E10" s="17">
        <v>1460.0</v>
      </c>
      <c r="F10" s="17">
        <f>-1168+2617</f>
        <v>1449</v>
      </c>
      <c r="G10" s="17">
        <f>25998+4409</f>
        <v>30407</v>
      </c>
      <c r="H10" s="17">
        <f>45627+9460</f>
        <v>55087</v>
      </c>
      <c r="I10" s="17">
        <f>4488-6359</f>
        <v>-1871</v>
      </c>
      <c r="J10" s="17">
        <f>10164-170</f>
        <v>9994</v>
      </c>
      <c r="K10" s="17">
        <v>30437.0</v>
      </c>
      <c r="L10" s="17">
        <f>55323+1833</f>
        <v>57156</v>
      </c>
      <c r="M10" s="17">
        <f>22085+2498</f>
        <v>24583</v>
      </c>
      <c r="N10" s="18">
        <f>44071+1438-629</f>
        <v>44880</v>
      </c>
      <c r="O10" s="18">
        <v>65796.0</v>
      </c>
      <c r="P10" s="18">
        <v>86793.0</v>
      </c>
      <c r="Q10" s="18">
        <v>18410.0</v>
      </c>
      <c r="R10" s="19">
        <v>37957.0</v>
      </c>
      <c r="S10" s="19">
        <v>59279.0</v>
      </c>
    </row>
    <row r="11" ht="12.0" customHeight="1">
      <c r="A11" s="4"/>
      <c r="B11" s="151" t="s">
        <v>140</v>
      </c>
      <c r="C11" s="80">
        <v>-919.0</v>
      </c>
      <c r="D11" s="80">
        <v>-2512.0</v>
      </c>
      <c r="E11" s="17">
        <v>7751.0</v>
      </c>
      <c r="F11" s="17">
        <v>-2405.0</v>
      </c>
      <c r="G11" s="17">
        <v>3898.0</v>
      </c>
      <c r="H11" s="17">
        <v>3084.0</v>
      </c>
      <c r="I11" s="17">
        <v>-4487.0</v>
      </c>
      <c r="J11" s="17">
        <v>314.0</v>
      </c>
      <c r="K11" s="17">
        <v>-5709.0</v>
      </c>
      <c r="L11" s="17">
        <v>-7114.0</v>
      </c>
      <c r="M11" s="17">
        <v>-4544.0</v>
      </c>
      <c r="N11" s="18">
        <v>-13922.0</v>
      </c>
      <c r="O11" s="18">
        <v>-13257.0</v>
      </c>
      <c r="P11" s="18">
        <v>-14735.0</v>
      </c>
      <c r="Q11" s="18">
        <v>-243.0</v>
      </c>
      <c r="R11" s="19">
        <v>5896.0</v>
      </c>
      <c r="S11" s="19">
        <v>5409.0</v>
      </c>
    </row>
    <row r="12" ht="12.0" customHeight="1">
      <c r="A12" s="4"/>
      <c r="B12" s="152" t="s">
        <v>141</v>
      </c>
      <c r="C12" s="23">
        <v>29219.0</v>
      </c>
      <c r="D12" s="23">
        <v>65137.0</v>
      </c>
      <c r="E12" s="18">
        <v>20807.0</v>
      </c>
      <c r="F12" s="18">
        <v>38658.0</v>
      </c>
      <c r="G12" s="18">
        <v>57515.0</v>
      </c>
      <c r="H12" s="18">
        <v>84417.0</v>
      </c>
      <c r="I12" s="18">
        <v>15314.0</v>
      </c>
      <c r="J12" s="18">
        <v>33330.0</v>
      </c>
      <c r="K12" s="18">
        <v>49867.0</v>
      </c>
      <c r="L12" s="18">
        <v>104562.0</v>
      </c>
      <c r="M12" s="18">
        <f>11723+38954 </f>
        <v>50677</v>
      </c>
      <c r="N12" s="19">
        <v>40640.0</v>
      </c>
      <c r="O12" s="18">
        <f>36186+56939</f>
        <v>93125</v>
      </c>
      <c r="P12" s="18">
        <v>76722.0</v>
      </c>
      <c r="Q12" s="18">
        <v>16810.0</v>
      </c>
      <c r="R12" s="19">
        <v>33695.0</v>
      </c>
      <c r="S12" s="19">
        <v>62848.0</v>
      </c>
    </row>
    <row r="13" ht="12.0" customHeight="1">
      <c r="A13" s="4"/>
      <c r="B13" s="151" t="s">
        <v>142</v>
      </c>
      <c r="C13" s="80">
        <v>1091.0</v>
      </c>
      <c r="D13" s="80">
        <v>196.0</v>
      </c>
      <c r="E13" s="17">
        <v>3258.0</v>
      </c>
      <c r="F13" s="17">
        <v>60.0</v>
      </c>
      <c r="G13" s="17">
        <v>918.0</v>
      </c>
      <c r="H13" s="17">
        <v>497.0</v>
      </c>
      <c r="I13" s="17">
        <v>-130.0</v>
      </c>
      <c r="J13" s="17">
        <v>710.0</v>
      </c>
      <c r="K13" s="17">
        <v>385.0</v>
      </c>
      <c r="L13" s="17">
        <v>329.0</v>
      </c>
      <c r="M13" s="17">
        <v>1605.0</v>
      </c>
      <c r="N13" s="18">
        <v>1737.0</v>
      </c>
      <c r="O13" s="18">
        <v>2573.0</v>
      </c>
      <c r="P13" s="18">
        <v>1556.0</v>
      </c>
      <c r="Q13" s="18">
        <v>1787.0</v>
      </c>
      <c r="R13" s="19">
        <v>2584.0</v>
      </c>
      <c r="S13" s="19">
        <v>7832.0</v>
      </c>
    </row>
    <row r="14" ht="12.0" customHeight="1">
      <c r="A14" s="4"/>
      <c r="B14" s="151" t="s">
        <v>143</v>
      </c>
      <c r="C14" s="80">
        <v>0.0</v>
      </c>
      <c r="D14" s="80">
        <v>0.0</v>
      </c>
      <c r="E14" s="17">
        <v>0.0</v>
      </c>
      <c r="F14" s="17">
        <v>0.0</v>
      </c>
      <c r="G14" s="17">
        <v>21818.0</v>
      </c>
      <c r="H14" s="17">
        <v>21894.0</v>
      </c>
      <c r="I14" s="17">
        <v>0.0</v>
      </c>
      <c r="J14" s="17">
        <v>0.0</v>
      </c>
      <c r="K14" s="17">
        <v>0.0</v>
      </c>
      <c r="L14" s="17">
        <v>0.0</v>
      </c>
      <c r="M14" s="17">
        <v>0.0</v>
      </c>
      <c r="N14" s="18">
        <v>0.0</v>
      </c>
      <c r="O14" s="18">
        <v>0.0</v>
      </c>
      <c r="P14" s="18">
        <v>0.0</v>
      </c>
      <c r="Q14" s="18">
        <v>0.0</v>
      </c>
      <c r="R14" s="19">
        <v>0.0</v>
      </c>
      <c r="S14" s="153">
        <v>0.0</v>
      </c>
    </row>
    <row r="15" ht="12.0" customHeight="1">
      <c r="A15" s="4"/>
      <c r="B15" s="150" t="s">
        <v>144</v>
      </c>
      <c r="C15" s="80">
        <v>23.0</v>
      </c>
      <c r="D15" s="80">
        <v>-12.0</v>
      </c>
      <c r="E15" s="17">
        <v>2.0</v>
      </c>
      <c r="F15" s="17">
        <v>2.0</v>
      </c>
      <c r="G15" s="17">
        <v>346.0</v>
      </c>
      <c r="H15" s="17">
        <v>472.0</v>
      </c>
      <c r="I15" s="17">
        <v>571.0</v>
      </c>
      <c r="J15" s="17">
        <v>385.0</v>
      </c>
      <c r="K15" s="17">
        <v>386.0</v>
      </c>
      <c r="L15" s="17">
        <v>386.0</v>
      </c>
      <c r="M15" s="17">
        <v>-273.0</v>
      </c>
      <c r="N15" s="18">
        <v>-268.0</v>
      </c>
      <c r="O15" s="18">
        <v>-286.0</v>
      </c>
      <c r="P15" s="18">
        <v>-424.0</v>
      </c>
      <c r="Q15" s="18">
        <v>76.0</v>
      </c>
      <c r="R15" s="19">
        <v>-22.0</v>
      </c>
      <c r="S15" s="19">
        <v>-22.0</v>
      </c>
    </row>
    <row r="16" ht="12.0" customHeight="1">
      <c r="A16" s="4"/>
      <c r="B16" s="150" t="s">
        <v>145</v>
      </c>
      <c r="C16" s="80">
        <v>14891.0</v>
      </c>
      <c r="D16" s="80">
        <v>-18.0</v>
      </c>
      <c r="E16" s="17">
        <v>-629.0</v>
      </c>
      <c r="F16" s="17">
        <v>0.0</v>
      </c>
      <c r="G16" s="17">
        <v>0.0</v>
      </c>
      <c r="H16" s="17">
        <v>0.0</v>
      </c>
      <c r="I16" s="17">
        <v>0.0</v>
      </c>
      <c r="J16" s="17">
        <v>0.0</v>
      </c>
      <c r="K16" s="17">
        <v>0.0</v>
      </c>
      <c r="L16" s="17">
        <v>0.0</v>
      </c>
      <c r="M16" s="17">
        <v>0.0</v>
      </c>
      <c r="N16" s="18">
        <v>0.0</v>
      </c>
      <c r="O16" s="18">
        <v>0.0</v>
      </c>
      <c r="P16" s="18">
        <v>0.0</v>
      </c>
      <c r="Q16" s="18">
        <v>0.0</v>
      </c>
      <c r="R16" s="19">
        <v>0.0</v>
      </c>
      <c r="S16" s="153">
        <v>0.0</v>
      </c>
    </row>
    <row r="17" ht="12.0" customHeight="1">
      <c r="A17" s="4"/>
      <c r="B17" s="154" t="s">
        <v>146</v>
      </c>
      <c r="C17" s="80">
        <v>3170.0</v>
      </c>
      <c r="D17" s="80">
        <v>942.0</v>
      </c>
      <c r="E17" s="17">
        <v>172.0</v>
      </c>
      <c r="F17" s="17">
        <v>390.0</v>
      </c>
      <c r="G17" s="17">
        <v>694.0</v>
      </c>
      <c r="H17" s="17">
        <v>2531.0</v>
      </c>
      <c r="I17" s="17">
        <v>1239.0</v>
      </c>
      <c r="J17" s="17">
        <v>1133.0</v>
      </c>
      <c r="K17" s="17">
        <v>1894.0</v>
      </c>
      <c r="L17" s="17">
        <v>5486.0</v>
      </c>
      <c r="M17" s="17">
        <v>5393.0</v>
      </c>
      <c r="N17" s="18">
        <v>15113.0</v>
      </c>
      <c r="O17" s="18">
        <v>21740.0</v>
      </c>
      <c r="P17" s="18">
        <v>28116.0</v>
      </c>
      <c r="Q17" s="18">
        <v>3772.0</v>
      </c>
      <c r="R17" s="19">
        <v>10451.0</v>
      </c>
      <c r="S17" s="19">
        <v>21299.0</v>
      </c>
    </row>
    <row r="18" ht="12.0" customHeight="1">
      <c r="A18" s="4"/>
      <c r="B18" s="151" t="s">
        <v>147</v>
      </c>
      <c r="C18" s="79">
        <v>0.0</v>
      </c>
      <c r="D18" s="79">
        <v>0.0</v>
      </c>
      <c r="E18" s="17">
        <v>0.0</v>
      </c>
      <c r="F18" s="17">
        <v>0.0</v>
      </c>
      <c r="G18" s="17">
        <v>0.0</v>
      </c>
      <c r="H18" s="17">
        <v>0.0</v>
      </c>
      <c r="I18" s="17">
        <v>0.0</v>
      </c>
      <c r="J18" s="17">
        <v>5123.0</v>
      </c>
      <c r="K18" s="17">
        <v>7240.0</v>
      </c>
      <c r="L18" s="17">
        <v>11497.0</v>
      </c>
      <c r="M18" s="17">
        <v>1589.0</v>
      </c>
      <c r="N18" s="18">
        <v>4509.0</v>
      </c>
      <c r="O18" s="18">
        <v>2783.0</v>
      </c>
      <c r="P18" s="18">
        <v>4863.0</v>
      </c>
      <c r="Q18" s="18">
        <v>1063.0</v>
      </c>
      <c r="R18" s="19">
        <v>2364.0</v>
      </c>
      <c r="S18" s="19">
        <v>0.0</v>
      </c>
    </row>
    <row r="19" ht="12.0" customHeight="1">
      <c r="A19" s="4"/>
      <c r="B19" s="150" t="s">
        <v>148</v>
      </c>
      <c r="C19" s="79"/>
      <c r="D19" s="79"/>
      <c r="E19" s="148"/>
      <c r="F19" s="17"/>
      <c r="G19" s="17"/>
      <c r="H19" s="17"/>
      <c r="I19" s="17"/>
      <c r="J19" s="17"/>
      <c r="K19" s="17"/>
      <c r="L19" s="17"/>
      <c r="M19" s="17"/>
      <c r="N19" s="18"/>
      <c r="O19" s="18"/>
      <c r="P19" s="18">
        <v>18327.0</v>
      </c>
      <c r="Q19" s="18">
        <v>0.0</v>
      </c>
      <c r="R19" s="19">
        <v>0.0</v>
      </c>
      <c r="S19" s="19">
        <v>0.0</v>
      </c>
    </row>
    <row r="20" ht="12.0" customHeight="1">
      <c r="A20" s="4"/>
      <c r="B20" s="150" t="s">
        <v>149</v>
      </c>
      <c r="C20" s="79">
        <v>205.0</v>
      </c>
      <c r="D20" s="79">
        <f>469-4324</f>
        <v>-3855</v>
      </c>
      <c r="E20" s="148">
        <v>-1.0</v>
      </c>
      <c r="F20" s="17">
        <v>-42.0</v>
      </c>
      <c r="G20" s="17">
        <v>52.0</v>
      </c>
      <c r="H20" s="17">
        <v>98.0</v>
      </c>
      <c r="I20" s="17"/>
      <c r="J20" s="17">
        <v>0.0</v>
      </c>
      <c r="K20" s="17">
        <f>-1824</f>
        <v>-1824</v>
      </c>
      <c r="L20" s="17">
        <v>-1855.0</v>
      </c>
      <c r="M20" s="17">
        <v>41.0</v>
      </c>
      <c r="N20" s="18">
        <v>0.0</v>
      </c>
      <c r="O20" s="18">
        <v>-559.0</v>
      </c>
      <c r="P20" s="18">
        <v>-571.0</v>
      </c>
      <c r="Q20" s="18">
        <v>10.0</v>
      </c>
      <c r="R20" s="19">
        <v>9.0</v>
      </c>
      <c r="S20" s="19">
        <v>7.0</v>
      </c>
    </row>
    <row r="21" ht="12.0" customHeight="1">
      <c r="A21" s="4"/>
      <c r="B21" s="141" t="s">
        <v>150</v>
      </c>
      <c r="C21" s="79"/>
      <c r="D21" s="79"/>
      <c r="E21" s="148"/>
      <c r="F21" s="148"/>
      <c r="G21" s="148"/>
      <c r="H21" s="148"/>
      <c r="I21" s="148"/>
      <c r="J21" s="148"/>
      <c r="K21" s="148"/>
      <c r="L21" s="148"/>
      <c r="M21" s="148"/>
      <c r="N21" s="149"/>
      <c r="O21" s="149"/>
      <c r="P21" s="149"/>
      <c r="Q21" s="149"/>
      <c r="R21" s="149"/>
      <c r="S21" s="149"/>
    </row>
    <row r="22" ht="12.0" customHeight="1">
      <c r="A22" s="4"/>
      <c r="B22" s="154" t="s">
        <v>14</v>
      </c>
      <c r="C22" s="79">
        <v>-32673.0</v>
      </c>
      <c r="D22" s="79">
        <v>-47848.0</v>
      </c>
      <c r="E22" s="17">
        <v>53734.0</v>
      </c>
      <c r="F22" s="17">
        <v>-56123.0</v>
      </c>
      <c r="G22" s="17">
        <v>-87669.0</v>
      </c>
      <c r="H22" s="17">
        <v>-102300.0</v>
      </c>
      <c r="I22" s="17">
        <v>21293.0</v>
      </c>
      <c r="J22" s="17">
        <v>-74260.0</v>
      </c>
      <c r="K22" s="17">
        <v>-107311.0</v>
      </c>
      <c r="L22" s="17">
        <v>-116574.0</v>
      </c>
      <c r="M22" s="17">
        <v>49460.0</v>
      </c>
      <c r="N22" s="18">
        <v>7337.0</v>
      </c>
      <c r="O22" s="18">
        <v>61268.0</v>
      </c>
      <c r="P22" s="18">
        <v>4381.0</v>
      </c>
      <c r="Q22" s="18">
        <v>166683.0</v>
      </c>
      <c r="R22" s="19">
        <v>71493.0</v>
      </c>
      <c r="S22" s="19">
        <v>61134.0</v>
      </c>
    </row>
    <row r="23" ht="12.0" customHeight="1">
      <c r="A23" s="4"/>
      <c r="B23" s="151" t="s">
        <v>15</v>
      </c>
      <c r="C23" s="17">
        <v>-4253.0</v>
      </c>
      <c r="D23" s="17">
        <v>-8339.0</v>
      </c>
      <c r="E23" s="17">
        <v>-106818.0</v>
      </c>
      <c r="F23" s="17">
        <v>-42805.0</v>
      </c>
      <c r="G23" s="17">
        <v>-67530.0</v>
      </c>
      <c r="H23" s="17">
        <v>-52876.0</v>
      </c>
      <c r="I23" s="17">
        <v>-78979.0</v>
      </c>
      <c r="J23" s="17">
        <v>-88256.0</v>
      </c>
      <c r="K23" s="17">
        <v>-85091.0</v>
      </c>
      <c r="L23" s="17">
        <v>-69101.0</v>
      </c>
      <c r="M23" s="17">
        <v>-18900.0</v>
      </c>
      <c r="N23" s="18">
        <v>-8603.0</v>
      </c>
      <c r="O23" s="18">
        <v>-26934.0</v>
      </c>
      <c r="P23" s="18">
        <v>63327.0</v>
      </c>
      <c r="Q23" s="18">
        <v>-101257.0</v>
      </c>
      <c r="R23" s="19">
        <v>-105175.0</v>
      </c>
      <c r="S23" s="19">
        <v>-91333.0</v>
      </c>
    </row>
    <row r="24" ht="12.0" customHeight="1">
      <c r="A24" s="4"/>
      <c r="B24" s="151" t="s">
        <v>151</v>
      </c>
      <c r="C24" s="17">
        <v>20.0</v>
      </c>
      <c r="D24" s="17">
        <v>461.0</v>
      </c>
      <c r="E24" s="17">
        <v>-1078.0</v>
      </c>
      <c r="F24" s="17">
        <v>440.0</v>
      </c>
      <c r="G24" s="17">
        <v>-13260.0</v>
      </c>
      <c r="H24" s="17">
        <v>-13806.0</v>
      </c>
      <c r="I24" s="17">
        <v>-3330.0</v>
      </c>
      <c r="J24" s="17">
        <v>-8498.0</v>
      </c>
      <c r="K24" s="17">
        <v>-2297.0</v>
      </c>
      <c r="L24" s="17">
        <v>-547.0</v>
      </c>
      <c r="M24" s="17">
        <v>245.0</v>
      </c>
      <c r="N24" s="18">
        <v>-18834.0</v>
      </c>
      <c r="O24" s="18">
        <v>-23279.0</v>
      </c>
      <c r="P24" s="18">
        <v>-31755.0</v>
      </c>
      <c r="Q24" s="18">
        <v>-7119.0</v>
      </c>
      <c r="R24" s="19">
        <v>-12733.0</v>
      </c>
      <c r="S24" s="19">
        <v>-19988.0</v>
      </c>
    </row>
    <row r="25" ht="12.0" customHeight="1">
      <c r="A25" s="4"/>
      <c r="B25" s="151" t="s">
        <v>17</v>
      </c>
      <c r="C25" s="17">
        <v>789.0</v>
      </c>
      <c r="D25" s="17">
        <v>507.0</v>
      </c>
      <c r="E25" s="17">
        <v>-7310.0</v>
      </c>
      <c r="F25" s="17">
        <v>-461.0</v>
      </c>
      <c r="G25" s="17">
        <v>-2.0</v>
      </c>
      <c r="H25" s="17">
        <v>-91.0</v>
      </c>
      <c r="I25" s="17">
        <v>-15242.0</v>
      </c>
      <c r="J25" s="17">
        <v>-158.0</v>
      </c>
      <c r="K25" s="17">
        <v>930.0</v>
      </c>
      <c r="L25" s="18">
        <v>1267.0</v>
      </c>
      <c r="M25" s="17">
        <v>-11281.0</v>
      </c>
      <c r="N25" s="19">
        <v>0.0</v>
      </c>
      <c r="O25" s="18">
        <v>935.0</v>
      </c>
      <c r="P25" s="18">
        <v>0.0</v>
      </c>
      <c r="Q25" s="18">
        <v>0.0</v>
      </c>
      <c r="R25" s="19">
        <v>0.0</v>
      </c>
      <c r="S25" s="19">
        <v>0.0</v>
      </c>
    </row>
    <row r="26" ht="12.0" customHeight="1">
      <c r="A26" s="4"/>
      <c r="B26" s="150" t="s">
        <v>24</v>
      </c>
      <c r="C26" s="17">
        <v>-105.0</v>
      </c>
      <c r="D26" s="17" t="s">
        <v>46</v>
      </c>
      <c r="E26" s="17">
        <v>0.0</v>
      </c>
      <c r="F26" s="17">
        <v>7.0</v>
      </c>
      <c r="G26" s="17">
        <v>7.0</v>
      </c>
      <c r="H26" s="17">
        <v>4.0</v>
      </c>
      <c r="I26" s="17">
        <v>-3022.0</v>
      </c>
      <c r="J26" s="17">
        <v>-6258.0</v>
      </c>
      <c r="K26" s="17">
        <v>0.0</v>
      </c>
      <c r="L26" s="18">
        <v>-6741.0</v>
      </c>
      <c r="M26" s="17">
        <v>110.0</v>
      </c>
      <c r="N26" s="19">
        <v>0.0</v>
      </c>
      <c r="O26" s="18">
        <v>0.0</v>
      </c>
      <c r="P26" s="18">
        <v>0.0</v>
      </c>
      <c r="Q26" s="18">
        <v>0.0</v>
      </c>
      <c r="R26" s="19">
        <v>0.0</v>
      </c>
      <c r="S26" s="19">
        <v>0.0</v>
      </c>
    </row>
    <row r="27" ht="12.0" customHeight="1">
      <c r="A27" s="4"/>
      <c r="B27" s="150" t="s">
        <v>31</v>
      </c>
      <c r="C27" s="17">
        <v>1697.0</v>
      </c>
      <c r="D27" s="17">
        <v>6746.0</v>
      </c>
      <c r="E27" s="17">
        <v>3693.0</v>
      </c>
      <c r="F27" s="17">
        <v>2349.0</v>
      </c>
      <c r="G27" s="17">
        <v>4075.0</v>
      </c>
      <c r="H27" s="17">
        <v>12215.0</v>
      </c>
      <c r="I27" s="17">
        <v>-31279.0</v>
      </c>
      <c r="J27" s="17">
        <v>-31796.0</v>
      </c>
      <c r="K27" s="17">
        <v>-34281.0</v>
      </c>
      <c r="L27" s="18">
        <v>-29769.0</v>
      </c>
      <c r="M27" s="17">
        <v>-11672.0</v>
      </c>
      <c r="N27" s="18">
        <v>-13663.0</v>
      </c>
      <c r="O27" s="18">
        <v>-16185.0</v>
      </c>
      <c r="P27" s="18">
        <v>-13112.0</v>
      </c>
      <c r="Q27" s="18">
        <v>-319.0</v>
      </c>
      <c r="R27" s="19">
        <v>-2046.0</v>
      </c>
      <c r="S27" s="19">
        <v>-7526.0</v>
      </c>
    </row>
    <row r="28" ht="12.0" customHeight="1">
      <c r="A28" s="4"/>
      <c r="B28" s="150" t="s">
        <v>34</v>
      </c>
      <c r="C28" s="17">
        <v>16825.0</v>
      </c>
      <c r="D28" s="17">
        <v>49086.0</v>
      </c>
      <c r="E28" s="17">
        <v>7413.0</v>
      </c>
      <c r="F28" s="17">
        <v>2427.0</v>
      </c>
      <c r="G28" s="17">
        <v>43788.0</v>
      </c>
      <c r="H28" s="17">
        <v>63083.0</v>
      </c>
      <c r="I28" s="17">
        <v>15553.0</v>
      </c>
      <c r="J28" s="17">
        <v>-27461.0</v>
      </c>
      <c r="K28" s="17">
        <v>7448.0</v>
      </c>
      <c r="L28" s="18">
        <v>10729.0</v>
      </c>
      <c r="M28" s="17">
        <v>-7628.0</v>
      </c>
      <c r="N28" s="18">
        <v>-59154.0</v>
      </c>
      <c r="O28" s="18">
        <v>-42070.0</v>
      </c>
      <c r="P28" s="18">
        <v>-61538.0</v>
      </c>
      <c r="Q28" s="18">
        <v>12177.0</v>
      </c>
      <c r="R28" s="19">
        <v>4246.0</v>
      </c>
      <c r="S28" s="19">
        <v>52141.0</v>
      </c>
    </row>
    <row r="29" ht="12.0" customHeight="1">
      <c r="A29" s="4"/>
      <c r="B29" s="150" t="s">
        <v>37</v>
      </c>
      <c r="C29" s="17">
        <v>-11398.0</v>
      </c>
      <c r="D29" s="17">
        <v>-12275.0</v>
      </c>
      <c r="E29" s="17">
        <v>-1431.0</v>
      </c>
      <c r="F29" s="17">
        <v>-14088.0</v>
      </c>
      <c r="G29" s="17">
        <v>-3797.0</v>
      </c>
      <c r="H29" s="17">
        <v>-17364.0</v>
      </c>
      <c r="I29" s="17">
        <v>-901.0</v>
      </c>
      <c r="J29" s="17">
        <v>8958.0</v>
      </c>
      <c r="K29" s="17">
        <v>1568.0</v>
      </c>
      <c r="L29" s="18">
        <v>-9681.0</v>
      </c>
      <c r="M29" s="17">
        <v>0.0</v>
      </c>
      <c r="N29" s="19">
        <v>0.0</v>
      </c>
      <c r="O29" s="18">
        <v>0.0</v>
      </c>
      <c r="P29" s="18">
        <v>1720.0</v>
      </c>
      <c r="Q29" s="18">
        <v>0.0</v>
      </c>
      <c r="R29" s="19">
        <v>0.0</v>
      </c>
      <c r="S29" s="19">
        <v>0.0</v>
      </c>
    </row>
    <row r="30" ht="12.0" customHeight="1">
      <c r="A30" s="4"/>
      <c r="B30" s="150" t="s">
        <v>38</v>
      </c>
      <c r="C30" s="17">
        <v>-346.0</v>
      </c>
      <c r="D30" s="17">
        <v>-407.0</v>
      </c>
      <c r="E30" s="17">
        <v>849.0</v>
      </c>
      <c r="F30" s="17">
        <v>1130.0</v>
      </c>
      <c r="G30" s="17">
        <v>1448.0</v>
      </c>
      <c r="H30" s="17">
        <v>1698.0</v>
      </c>
      <c r="I30" s="17">
        <v>-682.0</v>
      </c>
      <c r="J30" s="17">
        <v>986.0</v>
      </c>
      <c r="K30" s="17">
        <v>4509.0</v>
      </c>
      <c r="L30" s="18">
        <v>6376.0</v>
      </c>
      <c r="M30" s="17">
        <v>633.0</v>
      </c>
      <c r="N30" s="18">
        <v>0.0</v>
      </c>
      <c r="O30" s="18">
        <v>1274.0</v>
      </c>
      <c r="P30" s="18">
        <v>0.0</v>
      </c>
      <c r="Q30" s="18">
        <v>0.0</v>
      </c>
      <c r="R30" s="19">
        <v>0.0</v>
      </c>
      <c r="S30" s="19">
        <v>0.0</v>
      </c>
    </row>
    <row r="31" ht="12.0" customHeight="1">
      <c r="A31" s="4"/>
      <c r="B31" s="151" t="s">
        <v>40</v>
      </c>
      <c r="C31" s="17">
        <v>8595.0</v>
      </c>
      <c r="D31" s="17">
        <v>-7138.0</v>
      </c>
      <c r="E31" s="17">
        <v>-1644.0</v>
      </c>
      <c r="F31" s="17">
        <v>-5807.0</v>
      </c>
      <c r="G31" s="17">
        <v>-9036.0</v>
      </c>
      <c r="H31" s="17">
        <v>1922.0</v>
      </c>
      <c r="I31" s="17">
        <v>-2021.0</v>
      </c>
      <c r="J31" s="17">
        <v>-3058.0</v>
      </c>
      <c r="K31" s="17">
        <v>-4893.0</v>
      </c>
      <c r="L31" s="18">
        <v>9636.0</v>
      </c>
      <c r="M31" s="17">
        <v>-12657.0</v>
      </c>
      <c r="N31" s="18">
        <v>-18060.0</v>
      </c>
      <c r="O31" s="18">
        <v>-18484.0</v>
      </c>
      <c r="P31" s="18">
        <v>17175.0</v>
      </c>
      <c r="Q31" s="18">
        <v>-19587.0</v>
      </c>
      <c r="R31" s="19">
        <v>-25941.0</v>
      </c>
      <c r="S31" s="19">
        <v>-21895.0</v>
      </c>
    </row>
    <row r="32" ht="12.0" customHeight="1">
      <c r="A32" s="4"/>
      <c r="B32" s="151" t="s">
        <v>152</v>
      </c>
      <c r="C32" s="102">
        <v>5833.0</v>
      </c>
      <c r="D32" s="102">
        <f>-11435-43352</f>
        <v>-54787</v>
      </c>
      <c r="E32" s="17">
        <v>-4156.0</v>
      </c>
      <c r="F32" s="17">
        <v>-2786.0</v>
      </c>
      <c r="G32" s="17">
        <f>-6538-628</f>
        <v>-7166</v>
      </c>
      <c r="H32" s="17">
        <f>-21054-628</f>
        <v>-21682</v>
      </c>
      <c r="I32" s="17">
        <v>-9529.0</v>
      </c>
      <c r="J32" s="17">
        <v>-9140.0</v>
      </c>
      <c r="K32" s="17">
        <v>217.0</v>
      </c>
      <c r="L32" s="18">
        <v>565.0</v>
      </c>
      <c r="M32" s="17">
        <v>10795.0</v>
      </c>
      <c r="N32" s="19">
        <v>5016.0</v>
      </c>
      <c r="O32" s="18">
        <v>-5235.0</v>
      </c>
      <c r="P32" s="18">
        <v>5976.0</v>
      </c>
      <c r="Q32" s="18">
        <v>-6603.0</v>
      </c>
      <c r="R32" s="19">
        <v>-8080.0</v>
      </c>
      <c r="S32" s="19">
        <v>-5630.0</v>
      </c>
    </row>
    <row r="33" ht="12.0" customHeight="1">
      <c r="A33" s="4"/>
      <c r="B33" s="155" t="s">
        <v>153</v>
      </c>
      <c r="C33" s="156">
        <f t="shared" ref="C33:N33" si="1">sum(C6:C32)</f>
        <v>118348</v>
      </c>
      <c r="D33" s="156">
        <f t="shared" si="1"/>
        <v>151898</v>
      </c>
      <c r="E33" s="156">
        <f t="shared" si="1"/>
        <v>23560</v>
      </c>
      <c r="F33" s="156">
        <f t="shared" si="1"/>
        <v>23199</v>
      </c>
      <c r="G33" s="156">
        <f t="shared" si="1"/>
        <v>89075</v>
      </c>
      <c r="H33" s="156">
        <f t="shared" si="1"/>
        <v>214431</v>
      </c>
      <c r="I33" s="156">
        <f t="shared" si="1"/>
        <v>-46964</v>
      </c>
      <c r="J33" s="156">
        <f t="shared" si="1"/>
        <v>-87109</v>
      </c>
      <c r="K33" s="156">
        <f t="shared" si="1"/>
        <v>28596</v>
      </c>
      <c r="L33" s="156">
        <f t="shared" si="1"/>
        <v>160656</v>
      </c>
      <c r="M33" s="156">
        <f t="shared" si="1"/>
        <v>116562</v>
      </c>
      <c r="N33" s="157">
        <f t="shared" si="1"/>
        <v>117635</v>
      </c>
      <c r="O33" s="157">
        <f>sum(O6:O32)+1</f>
        <v>254505</v>
      </c>
      <c r="P33" s="157">
        <f t="shared" ref="P33:S33" si="2">sum(P6:P32)</f>
        <v>414296</v>
      </c>
      <c r="Q33" s="157">
        <f t="shared" si="2"/>
        <v>130271</v>
      </c>
      <c r="R33" s="157">
        <f t="shared" si="2"/>
        <v>131250</v>
      </c>
      <c r="S33" s="157">
        <f t="shared" si="2"/>
        <v>294932</v>
      </c>
    </row>
    <row r="34" ht="12.0" customHeight="1">
      <c r="A34" s="4"/>
      <c r="B34" s="150" t="s">
        <v>154</v>
      </c>
      <c r="C34" s="102">
        <v>-25085.0</v>
      </c>
      <c r="D34" s="102">
        <v>-47044.0</v>
      </c>
      <c r="E34" s="17">
        <v>-15394.0</v>
      </c>
      <c r="F34" s="17">
        <v>-23321.0</v>
      </c>
      <c r="G34" s="17">
        <v>-44468.0</v>
      </c>
      <c r="H34" s="17">
        <v>-64150.0</v>
      </c>
      <c r="I34" s="17">
        <v>-4818.0</v>
      </c>
      <c r="J34" s="17">
        <v>-21074.0</v>
      </c>
      <c r="K34" s="17">
        <v>-33467.0</v>
      </c>
      <c r="L34" s="17">
        <v>-48299.0</v>
      </c>
      <c r="M34" s="17">
        <v>-6808.0</v>
      </c>
      <c r="N34" s="18">
        <v>-18713.0</v>
      </c>
      <c r="O34" s="18">
        <v>-25516.0</v>
      </c>
      <c r="P34" s="18">
        <v>-27407.0</v>
      </c>
      <c r="Q34" s="18">
        <v>-3303.0</v>
      </c>
      <c r="R34" s="19">
        <v>-7103.0</v>
      </c>
      <c r="S34" s="19">
        <v>-16383.0</v>
      </c>
    </row>
    <row r="35" ht="12.0" customHeight="1">
      <c r="A35" s="4"/>
      <c r="B35" s="150" t="s">
        <v>155</v>
      </c>
      <c r="C35" s="102">
        <v>-1912.0</v>
      </c>
      <c r="D35" s="102">
        <v>-3880.0</v>
      </c>
      <c r="E35" s="17">
        <v>-1412.0</v>
      </c>
      <c r="F35" s="17">
        <v>-1966.0</v>
      </c>
      <c r="G35" s="17">
        <v>-2296.0</v>
      </c>
      <c r="H35" s="17">
        <v>-12149.0</v>
      </c>
      <c r="I35" s="17">
        <v>-19458.0</v>
      </c>
      <c r="J35" s="17">
        <v>-38379.0</v>
      </c>
      <c r="K35" s="17">
        <v>-51152.0</v>
      </c>
      <c r="L35" s="17">
        <v>-70096.0</v>
      </c>
      <c r="M35" s="17">
        <v>-15534.0</v>
      </c>
      <c r="N35" s="18">
        <v>-37156.0</v>
      </c>
      <c r="O35" s="18">
        <v>-52356.0</v>
      </c>
      <c r="P35" s="18">
        <v>-91788.0</v>
      </c>
      <c r="Q35" s="18">
        <v>-7019.0</v>
      </c>
      <c r="R35" s="19">
        <v>-26642.0</v>
      </c>
      <c r="S35" s="19">
        <v>-36964.0</v>
      </c>
    </row>
    <row r="36" ht="12.0" customHeight="1">
      <c r="A36" s="4"/>
      <c r="B36" s="151" t="s">
        <v>156</v>
      </c>
      <c r="C36" s="102">
        <v>-6129.0</v>
      </c>
      <c r="D36" s="102">
        <v>-5023.0</v>
      </c>
      <c r="E36" s="17">
        <v>-1311.0</v>
      </c>
      <c r="F36" s="17">
        <v>-2607.0</v>
      </c>
      <c r="G36" s="17">
        <v>-3972.0</v>
      </c>
      <c r="H36" s="17">
        <v>-5753.0</v>
      </c>
      <c r="I36" s="17">
        <v>-1479.0</v>
      </c>
      <c r="J36" s="17">
        <v>-3174.0</v>
      </c>
      <c r="K36" s="17">
        <v>-4796.0</v>
      </c>
      <c r="L36" s="17">
        <v>-6169.0</v>
      </c>
      <c r="M36" s="17">
        <v>-1148.0</v>
      </c>
      <c r="N36" s="18">
        <v>-2153.0</v>
      </c>
      <c r="O36" s="18">
        <v>-3070.0</v>
      </c>
      <c r="P36" s="18">
        <v>-4057.0</v>
      </c>
      <c r="Q36" s="18">
        <v>-820.0</v>
      </c>
      <c r="R36" s="19">
        <v>-1663.0</v>
      </c>
      <c r="S36" s="19">
        <v>-2671.0</v>
      </c>
    </row>
    <row r="37" ht="12.0" customHeight="1">
      <c r="A37" s="4"/>
      <c r="B37" s="151" t="s">
        <v>157</v>
      </c>
      <c r="C37" s="17">
        <v>0.0</v>
      </c>
      <c r="D37" s="17">
        <v>0.0</v>
      </c>
      <c r="E37" s="17"/>
      <c r="F37" s="17"/>
      <c r="G37" s="17"/>
      <c r="H37" s="17">
        <v>0.0</v>
      </c>
      <c r="I37" s="17">
        <v>0.0</v>
      </c>
      <c r="J37" s="17">
        <v>0.0</v>
      </c>
      <c r="K37" s="17">
        <v>0.0</v>
      </c>
      <c r="L37" s="17">
        <v>0.0</v>
      </c>
      <c r="M37" s="17">
        <v>0.0</v>
      </c>
      <c r="N37" s="18">
        <v>2495.0</v>
      </c>
      <c r="O37" s="18">
        <v>4198.0</v>
      </c>
      <c r="P37" s="18">
        <v>4198.0</v>
      </c>
      <c r="Q37" s="18">
        <v>0.0</v>
      </c>
      <c r="R37" s="19">
        <v>362.0</v>
      </c>
      <c r="S37" s="19">
        <v>4551.0</v>
      </c>
    </row>
    <row r="38" ht="12.0" customHeight="1">
      <c r="A38" s="4"/>
      <c r="B38" s="155" t="s">
        <v>158</v>
      </c>
      <c r="C38" s="156">
        <f t="shared" ref="C38:D38" si="3">sum(C33:C37)</f>
        <v>85222</v>
      </c>
      <c r="D38" s="156">
        <f t="shared" si="3"/>
        <v>95951</v>
      </c>
      <c r="E38" s="156">
        <f t="shared" ref="E38:G38" si="4">sum(E33:E36)</f>
        <v>5443</v>
      </c>
      <c r="F38" s="156">
        <f t="shared" si="4"/>
        <v>-4695</v>
      </c>
      <c r="G38" s="156">
        <f t="shared" si="4"/>
        <v>38339</v>
      </c>
      <c r="H38" s="156">
        <f t="shared" ref="H38:S38" si="5">sum(H33:H37)</f>
        <v>132379</v>
      </c>
      <c r="I38" s="156">
        <f t="shared" si="5"/>
        <v>-72719</v>
      </c>
      <c r="J38" s="156">
        <f t="shared" si="5"/>
        <v>-149736</v>
      </c>
      <c r="K38" s="156">
        <f t="shared" si="5"/>
        <v>-60819</v>
      </c>
      <c r="L38" s="156">
        <f t="shared" si="5"/>
        <v>36092</v>
      </c>
      <c r="M38" s="156">
        <f t="shared" si="5"/>
        <v>93072</v>
      </c>
      <c r="N38" s="157">
        <f t="shared" si="5"/>
        <v>62108</v>
      </c>
      <c r="O38" s="157">
        <f t="shared" si="5"/>
        <v>177761</v>
      </c>
      <c r="P38" s="157">
        <f t="shared" si="5"/>
        <v>295242</v>
      </c>
      <c r="Q38" s="157">
        <f t="shared" si="5"/>
        <v>119129</v>
      </c>
      <c r="R38" s="157">
        <f t="shared" si="5"/>
        <v>96204</v>
      </c>
      <c r="S38" s="157">
        <f t="shared" si="5"/>
        <v>243465</v>
      </c>
    </row>
    <row r="39" ht="12.0" customHeight="1">
      <c r="A39" s="4"/>
      <c r="B39" s="141" t="s">
        <v>159</v>
      </c>
      <c r="C39" s="118"/>
      <c r="D39" s="118"/>
      <c r="E39" s="148"/>
      <c r="F39" s="148"/>
      <c r="G39" s="148"/>
      <c r="H39" s="148"/>
      <c r="I39" s="148"/>
      <c r="J39" s="148"/>
      <c r="K39" s="148"/>
      <c r="L39" s="148"/>
      <c r="M39" s="148"/>
      <c r="N39" s="149"/>
      <c r="O39" s="149"/>
      <c r="P39" s="149"/>
      <c r="Q39" s="149"/>
      <c r="R39" s="149"/>
      <c r="S39" s="149"/>
    </row>
    <row r="40">
      <c r="A40" s="4"/>
      <c r="B40" s="150" t="s">
        <v>160</v>
      </c>
      <c r="C40" s="102">
        <v>-16551.0</v>
      </c>
      <c r="D40" s="102">
        <v>-21391.0</v>
      </c>
      <c r="E40" s="17">
        <v>-9607.0</v>
      </c>
      <c r="F40" s="17">
        <v>-17164.0</v>
      </c>
      <c r="G40" s="17">
        <v>-22112.0</v>
      </c>
      <c r="H40" s="17">
        <v>-29907.0</v>
      </c>
      <c r="I40" s="17">
        <v>-8295.0</v>
      </c>
      <c r="J40" s="17">
        <v>-15520.0</v>
      </c>
      <c r="K40" s="17">
        <v>-20163.0</v>
      </c>
      <c r="L40" s="17">
        <v>-22967.0</v>
      </c>
      <c r="M40" s="17">
        <v>-4247.0</v>
      </c>
      <c r="N40" s="18">
        <v>-8265.0</v>
      </c>
      <c r="O40" s="18">
        <v>-14738.0</v>
      </c>
      <c r="P40" s="18">
        <v>-24109.0</v>
      </c>
      <c r="Q40" s="18">
        <v>-11175.0</v>
      </c>
      <c r="R40" s="19">
        <v>-24320.0</v>
      </c>
      <c r="S40" s="19">
        <v>-39192.0</v>
      </c>
    </row>
    <row r="41" ht="12.0" customHeight="1">
      <c r="A41" s="4"/>
      <c r="B41" s="150" t="s">
        <v>161</v>
      </c>
      <c r="C41" s="102">
        <v>0.0</v>
      </c>
      <c r="D41" s="102">
        <v>0.0</v>
      </c>
      <c r="E41" s="17">
        <v>0.0</v>
      </c>
      <c r="F41" s="17">
        <v>0.0</v>
      </c>
      <c r="G41" s="17">
        <v>-641784.0</v>
      </c>
      <c r="H41" s="17">
        <v>-692722.0</v>
      </c>
      <c r="I41" s="17">
        <v>-265137.0</v>
      </c>
      <c r="J41" s="17">
        <v>-289865.0</v>
      </c>
      <c r="K41" s="17">
        <v>-321799.0</v>
      </c>
      <c r="L41" s="17">
        <v>-745726.0</v>
      </c>
      <c r="M41" s="17">
        <v>0.0</v>
      </c>
      <c r="N41" s="18"/>
      <c r="O41" s="18">
        <v>0.0</v>
      </c>
      <c r="P41" s="18">
        <v>0.0</v>
      </c>
      <c r="Q41" s="18">
        <v>0.0</v>
      </c>
      <c r="R41" s="19">
        <v>0.0</v>
      </c>
      <c r="S41" s="19">
        <v>0.0</v>
      </c>
    </row>
    <row r="42" ht="12.0" customHeight="1">
      <c r="A42" s="4"/>
      <c r="B42" s="151" t="s">
        <v>162</v>
      </c>
      <c r="C42" s="102">
        <v>0.0</v>
      </c>
      <c r="D42" s="102">
        <v>0.0</v>
      </c>
      <c r="E42" s="17">
        <v>0.0</v>
      </c>
      <c r="F42" s="17"/>
      <c r="G42" s="17">
        <v>0.0</v>
      </c>
      <c r="H42" s="17">
        <v>-784915.0</v>
      </c>
      <c r="I42" s="17">
        <v>350128.0</v>
      </c>
      <c r="J42" s="17">
        <v>514394.0</v>
      </c>
      <c r="K42" s="17">
        <v>582367.0</v>
      </c>
      <c r="L42" s="17">
        <v>655533.0</v>
      </c>
      <c r="M42" s="17">
        <v>1474.0</v>
      </c>
      <c r="N42" s="18">
        <v>56996.0</v>
      </c>
      <c r="O42" s="18">
        <v>54214.0</v>
      </c>
      <c r="P42" s="18">
        <v>90298.0</v>
      </c>
      <c r="Q42" s="18">
        <v>3164.0</v>
      </c>
      <c r="R42" s="19">
        <v>3164.0</v>
      </c>
      <c r="S42" s="19">
        <v>3164.0</v>
      </c>
    </row>
    <row r="43" ht="12.0" customHeight="1">
      <c r="A43" s="4"/>
      <c r="B43" s="151" t="s">
        <v>163</v>
      </c>
      <c r="C43" s="102">
        <v>0.0</v>
      </c>
      <c r="D43" s="102">
        <v>0.0</v>
      </c>
      <c r="E43" s="17">
        <v>0.0</v>
      </c>
      <c r="F43" s="17">
        <v>0.0</v>
      </c>
      <c r="G43" s="17">
        <v>0.0</v>
      </c>
      <c r="H43" s="17">
        <v>0.0</v>
      </c>
      <c r="I43" s="17">
        <v>0.0</v>
      </c>
      <c r="J43" s="17">
        <v>0.0</v>
      </c>
      <c r="K43" s="17">
        <v>20981.0</v>
      </c>
      <c r="L43" s="17">
        <v>25263.0</v>
      </c>
      <c r="M43" s="17">
        <v>0.0</v>
      </c>
      <c r="N43" s="18"/>
      <c r="O43" s="18">
        <v>0.0</v>
      </c>
      <c r="P43" s="18">
        <v>0.0</v>
      </c>
      <c r="Q43" s="18">
        <v>0.0</v>
      </c>
      <c r="R43" s="19">
        <v>0.0</v>
      </c>
      <c r="S43" s="19">
        <v>0.0</v>
      </c>
    </row>
    <row r="44" ht="12.0" customHeight="1">
      <c r="A44" s="4"/>
      <c r="B44" s="151" t="s">
        <v>164</v>
      </c>
      <c r="C44" s="102">
        <v>0.0</v>
      </c>
      <c r="D44" s="102">
        <v>0.0</v>
      </c>
      <c r="E44" s="17">
        <v>0.0</v>
      </c>
      <c r="F44" s="17">
        <v>0.0</v>
      </c>
      <c r="G44" s="17">
        <v>0.0</v>
      </c>
      <c r="H44" s="17">
        <v>0.0</v>
      </c>
      <c r="I44" s="17">
        <v>16134.0</v>
      </c>
      <c r="J44" s="17">
        <v>16134.0</v>
      </c>
      <c r="K44" s="17">
        <v>0.0</v>
      </c>
      <c r="L44" s="17">
        <v>0.0</v>
      </c>
      <c r="M44" s="17">
        <v>0.0</v>
      </c>
      <c r="N44" s="18"/>
      <c r="O44" s="18">
        <v>0.0</v>
      </c>
      <c r="P44" s="18">
        <v>0.0</v>
      </c>
      <c r="Q44" s="18">
        <v>0.0</v>
      </c>
      <c r="R44" s="19">
        <v>0.0</v>
      </c>
      <c r="S44" s="19">
        <v>0.0</v>
      </c>
    </row>
    <row r="45" ht="12.0" customHeight="1">
      <c r="A45" s="4"/>
      <c r="B45" s="151" t="s">
        <v>165</v>
      </c>
      <c r="C45" s="102">
        <v>0.0</v>
      </c>
      <c r="D45" s="102">
        <v>0.0</v>
      </c>
      <c r="E45" s="17">
        <v>0.0</v>
      </c>
      <c r="F45" s="17">
        <v>0.0</v>
      </c>
      <c r="G45" s="17">
        <v>0.0</v>
      </c>
      <c r="H45" s="17">
        <v>0.0</v>
      </c>
      <c r="I45" s="17">
        <v>0.0</v>
      </c>
      <c r="J45" s="17">
        <v>0.0</v>
      </c>
      <c r="K45" s="17">
        <v>0.0</v>
      </c>
      <c r="L45" s="17">
        <v>5337.0</v>
      </c>
      <c r="M45" s="17">
        <v>0.0</v>
      </c>
      <c r="N45" s="18"/>
      <c r="O45" s="18">
        <v>0.0</v>
      </c>
      <c r="P45" s="18">
        <v>0.0</v>
      </c>
      <c r="Q45" s="18">
        <v>0.0</v>
      </c>
      <c r="R45" s="19">
        <v>0.0</v>
      </c>
      <c r="S45" s="19">
        <v>0.0</v>
      </c>
    </row>
    <row r="46" ht="12.0" customHeight="1">
      <c r="A46" s="4"/>
      <c r="B46" s="150" t="s">
        <v>166</v>
      </c>
      <c r="C46" s="102">
        <v>0.0</v>
      </c>
      <c r="D46" s="102">
        <v>0.0</v>
      </c>
      <c r="E46" s="102">
        <v>0.0</v>
      </c>
      <c r="F46" s="102">
        <v>0.0</v>
      </c>
      <c r="G46" s="102">
        <v>0.0</v>
      </c>
      <c r="H46" s="102">
        <v>0.0</v>
      </c>
      <c r="I46" s="102">
        <v>0.0</v>
      </c>
      <c r="J46" s="102">
        <v>0.0</v>
      </c>
      <c r="K46" s="102">
        <v>-23061.0</v>
      </c>
      <c r="L46" s="102">
        <v>0.0</v>
      </c>
      <c r="M46" s="17">
        <v>0.0</v>
      </c>
      <c r="N46" s="18">
        <v>0.0</v>
      </c>
      <c r="O46" s="18">
        <v>0.0</v>
      </c>
      <c r="P46" s="18">
        <v>0.0</v>
      </c>
      <c r="Q46" s="18">
        <v>0.0</v>
      </c>
      <c r="R46" s="19">
        <v>0.0</v>
      </c>
      <c r="S46" s="19">
        <v>0.0</v>
      </c>
    </row>
    <row r="47" ht="12.0" customHeight="1">
      <c r="A47" s="4"/>
      <c r="B47" s="155" t="s">
        <v>167</v>
      </c>
      <c r="C47" s="156">
        <f t="shared" ref="C47:D47" si="6">SUM(C40:C46)</f>
        <v>-16551</v>
      </c>
      <c r="D47" s="156">
        <f t="shared" si="6"/>
        <v>-21391</v>
      </c>
      <c r="E47" s="156">
        <f t="shared" ref="E47:F47" si="7">SUM(E40:E45)</f>
        <v>-9607</v>
      </c>
      <c r="F47" s="156">
        <f t="shared" si="7"/>
        <v>-17164</v>
      </c>
      <c r="G47" s="156">
        <f t="shared" ref="G47:S47" si="8">SUM(G40:G46)</f>
        <v>-663896</v>
      </c>
      <c r="H47" s="156">
        <f t="shared" si="8"/>
        <v>-1507544</v>
      </c>
      <c r="I47" s="156">
        <f t="shared" si="8"/>
        <v>92830</v>
      </c>
      <c r="J47" s="156">
        <f t="shared" si="8"/>
        <v>225143</v>
      </c>
      <c r="K47" s="156">
        <f t="shared" si="8"/>
        <v>238325</v>
      </c>
      <c r="L47" s="156">
        <f t="shared" si="8"/>
        <v>-82560</v>
      </c>
      <c r="M47" s="156">
        <f t="shared" si="8"/>
        <v>-2773</v>
      </c>
      <c r="N47" s="157">
        <f t="shared" si="8"/>
        <v>48731</v>
      </c>
      <c r="O47" s="157">
        <f t="shared" si="8"/>
        <v>39476</v>
      </c>
      <c r="P47" s="157">
        <f t="shared" si="8"/>
        <v>66189</v>
      </c>
      <c r="Q47" s="157">
        <f t="shared" si="8"/>
        <v>-8011</v>
      </c>
      <c r="R47" s="157">
        <f t="shared" si="8"/>
        <v>-21156</v>
      </c>
      <c r="S47" s="157">
        <f t="shared" si="8"/>
        <v>-36028</v>
      </c>
    </row>
    <row r="48" ht="12.0" customHeight="1">
      <c r="A48" s="4"/>
      <c r="B48" s="158" t="s">
        <v>168</v>
      </c>
      <c r="C48" s="4"/>
      <c r="D48" s="4"/>
      <c r="E48" s="148"/>
      <c r="F48" s="148"/>
      <c r="G48" s="148"/>
      <c r="H48" s="148"/>
      <c r="I48" s="148"/>
      <c r="J48" s="148"/>
      <c r="K48" s="148"/>
      <c r="L48" s="148"/>
      <c r="M48" s="148"/>
      <c r="N48" s="149"/>
      <c r="O48" s="149"/>
      <c r="P48" s="149"/>
      <c r="Q48" s="149"/>
      <c r="R48" s="149"/>
      <c r="S48" s="149"/>
    </row>
    <row r="49" ht="12.0" customHeight="1">
      <c r="A49" s="4"/>
      <c r="B49" s="150" t="s">
        <v>169</v>
      </c>
      <c r="C49" s="102">
        <v>0.0</v>
      </c>
      <c r="D49" s="102">
        <v>0.0</v>
      </c>
      <c r="E49" s="17">
        <v>0.0</v>
      </c>
      <c r="F49" s="17">
        <v>691.0</v>
      </c>
      <c r="G49" s="17">
        <v>989.0</v>
      </c>
      <c r="H49" s="17">
        <v>1282.0</v>
      </c>
      <c r="I49" s="17">
        <v>0.0</v>
      </c>
      <c r="J49" s="17">
        <v>8785.0</v>
      </c>
      <c r="K49" s="17">
        <v>0.0</v>
      </c>
      <c r="L49" s="17" t="s">
        <v>46</v>
      </c>
      <c r="M49" s="17">
        <v>0.0</v>
      </c>
      <c r="N49" s="18">
        <v>0.0</v>
      </c>
      <c r="O49" s="18">
        <v>0.0</v>
      </c>
      <c r="P49" s="18">
        <v>0.0</v>
      </c>
      <c r="Q49" s="18">
        <v>0.0</v>
      </c>
      <c r="R49" s="19">
        <v>0.0</v>
      </c>
      <c r="S49" s="19">
        <v>0.0</v>
      </c>
    </row>
    <row r="50" ht="12.0" customHeight="1">
      <c r="A50" s="4"/>
      <c r="B50" s="150" t="s">
        <v>170</v>
      </c>
      <c r="C50" s="102">
        <v>0.0</v>
      </c>
      <c r="D50" s="102">
        <v>0.0</v>
      </c>
      <c r="E50" s="17">
        <v>0.0</v>
      </c>
      <c r="F50" s="17">
        <v>0.0</v>
      </c>
      <c r="G50" s="17">
        <v>0.0</v>
      </c>
      <c r="H50" s="17">
        <v>915947.0</v>
      </c>
      <c r="I50" s="17">
        <v>0.0</v>
      </c>
      <c r="J50" s="17">
        <v>0.0</v>
      </c>
      <c r="K50" s="17">
        <v>0.0</v>
      </c>
      <c r="L50" s="17" t="s">
        <v>46</v>
      </c>
      <c r="M50" s="17">
        <v>0.0</v>
      </c>
      <c r="N50" s="18">
        <v>0.0</v>
      </c>
      <c r="O50" s="18">
        <v>0.0</v>
      </c>
      <c r="P50" s="18">
        <v>0.0</v>
      </c>
      <c r="Q50" s="18">
        <v>0.0</v>
      </c>
      <c r="R50" s="19">
        <v>0.0</v>
      </c>
      <c r="S50" s="19">
        <v>0.0</v>
      </c>
    </row>
    <row r="51" ht="12.0" customHeight="1">
      <c r="A51" s="4"/>
      <c r="B51" s="150" t="s">
        <v>171</v>
      </c>
      <c r="C51" s="102">
        <v>0.0</v>
      </c>
      <c r="D51" s="102">
        <v>0.0</v>
      </c>
      <c r="E51" s="17">
        <v>0.0</v>
      </c>
      <c r="F51" s="17">
        <v>0.0</v>
      </c>
      <c r="G51" s="17">
        <v>0.0</v>
      </c>
      <c r="H51" s="17">
        <v>-55874.0</v>
      </c>
      <c r="I51" s="17">
        <v>0.0</v>
      </c>
      <c r="J51" s="17">
        <v>0.0</v>
      </c>
      <c r="K51" s="17">
        <v>0.0</v>
      </c>
      <c r="L51" s="17" t="s">
        <v>46</v>
      </c>
      <c r="M51" s="17">
        <v>0.0</v>
      </c>
      <c r="N51" s="18">
        <v>0.0</v>
      </c>
      <c r="O51" s="18">
        <v>0.0</v>
      </c>
      <c r="P51" s="18">
        <v>0.0</v>
      </c>
      <c r="Q51" s="18">
        <v>0.0</v>
      </c>
      <c r="R51" s="19">
        <v>0.0</v>
      </c>
      <c r="S51" s="19">
        <v>0.0</v>
      </c>
    </row>
    <row r="52" ht="12.0" customHeight="1">
      <c r="A52" s="4"/>
      <c r="B52" s="150" t="s">
        <v>172</v>
      </c>
      <c r="C52" s="17">
        <v>-40059.0</v>
      </c>
      <c r="D52" s="17">
        <v>-30977.0</v>
      </c>
      <c r="E52" s="17">
        <v>0.0</v>
      </c>
      <c r="F52" s="17">
        <v>-71039.0</v>
      </c>
      <c r="G52" s="17">
        <v>-71039.0</v>
      </c>
      <c r="H52" s="17">
        <v>-126045.0</v>
      </c>
      <c r="I52" s="17">
        <v>0.0</v>
      </c>
      <c r="J52" s="17">
        <v>0.0</v>
      </c>
      <c r="K52" s="17">
        <v>0.0</v>
      </c>
      <c r="L52" s="17" t="s">
        <v>46</v>
      </c>
      <c r="M52" s="17">
        <v>0.0</v>
      </c>
      <c r="N52" s="18">
        <v>0.0</v>
      </c>
      <c r="O52" s="18">
        <v>0.0</v>
      </c>
      <c r="P52" s="18">
        <v>0.0</v>
      </c>
      <c r="Q52" s="18">
        <v>0.0</v>
      </c>
      <c r="R52" s="19">
        <v>0.0</v>
      </c>
      <c r="S52" s="19">
        <v>0.0</v>
      </c>
    </row>
    <row r="53" ht="12.0" customHeight="1">
      <c r="A53" s="4"/>
      <c r="B53" s="150" t="s">
        <v>173</v>
      </c>
      <c r="C53" s="17">
        <v>-2676.0</v>
      </c>
      <c r="D53" s="17">
        <v>-4276.0</v>
      </c>
      <c r="E53" s="17">
        <v>0.0</v>
      </c>
      <c r="F53" s="17">
        <v>-460.0</v>
      </c>
      <c r="G53" s="17">
        <v>-713.0</v>
      </c>
      <c r="H53" s="17">
        <v>-6288.0</v>
      </c>
      <c r="I53" s="17">
        <v>0.0</v>
      </c>
      <c r="J53" s="17">
        <v>0.0</v>
      </c>
      <c r="K53" s="17">
        <v>0.0</v>
      </c>
      <c r="L53" s="17"/>
      <c r="M53" s="17">
        <v>0.0</v>
      </c>
      <c r="N53" s="18">
        <v>0.0</v>
      </c>
      <c r="O53" s="18">
        <v>0.0</v>
      </c>
      <c r="P53" s="18">
        <v>0.0</v>
      </c>
      <c r="Q53" s="18">
        <v>0.0</v>
      </c>
      <c r="R53" s="19">
        <v>0.0</v>
      </c>
      <c r="S53" s="19">
        <v>0.0</v>
      </c>
    </row>
    <row r="54" ht="12.0" customHeight="1">
      <c r="A54" s="4"/>
      <c r="B54" s="150" t="s">
        <v>174</v>
      </c>
      <c r="C54" s="17">
        <v>-10949.0</v>
      </c>
      <c r="D54" s="17">
        <v>-15500.0</v>
      </c>
      <c r="E54" s="17">
        <v>-3647.0</v>
      </c>
      <c r="F54" s="17">
        <v>-7854.0</v>
      </c>
      <c r="G54" s="17">
        <v>-12407.0</v>
      </c>
      <c r="H54" s="17">
        <v>-17656.0</v>
      </c>
      <c r="I54" s="17">
        <v>-6084.0</v>
      </c>
      <c r="J54" s="17">
        <v>-12576.0</v>
      </c>
      <c r="K54" s="17">
        <v>-19828.0</v>
      </c>
      <c r="L54" s="17">
        <v>-26993.0</v>
      </c>
      <c r="M54" s="17">
        <v>-5919.0</v>
      </c>
      <c r="N54" s="18">
        <v>-12290.0</v>
      </c>
      <c r="O54" s="18">
        <v>-18465.0</v>
      </c>
      <c r="P54" s="18">
        <v>-24070.0</v>
      </c>
      <c r="Q54" s="18">
        <v>-5707.0</v>
      </c>
      <c r="R54" s="19">
        <v>-11465.0</v>
      </c>
      <c r="S54" s="19">
        <v>-16372.0</v>
      </c>
    </row>
    <row r="55" ht="12.0" customHeight="1">
      <c r="A55" s="4"/>
      <c r="B55" s="150" t="s">
        <v>175</v>
      </c>
      <c r="C55" s="17">
        <v>8179.0</v>
      </c>
      <c r="D55" s="17">
        <v>144269.0</v>
      </c>
      <c r="E55" s="17">
        <v>22382.0</v>
      </c>
      <c r="F55" s="17">
        <v>88496.0</v>
      </c>
      <c r="G55" s="17">
        <v>740596.0</v>
      </c>
      <c r="H55" s="17">
        <v>740596.0</v>
      </c>
      <c r="I55" s="17">
        <v>0.0</v>
      </c>
      <c r="J55" s="17">
        <v>133789.0</v>
      </c>
      <c r="K55" s="17">
        <v>186239.0</v>
      </c>
      <c r="L55" s="17">
        <v>527507.0</v>
      </c>
      <c r="M55" s="17">
        <v>0.0</v>
      </c>
      <c r="N55" s="18">
        <v>0.0</v>
      </c>
      <c r="O55" s="18">
        <v>47950.0</v>
      </c>
      <c r="P55" s="18">
        <v>205093.0</v>
      </c>
      <c r="Q55" s="18">
        <v>49801.0</v>
      </c>
      <c r="R55" s="19">
        <v>49801.0</v>
      </c>
      <c r="S55" s="19">
        <v>104191.0</v>
      </c>
    </row>
    <row r="56" ht="11.25" customHeight="1">
      <c r="A56" s="4"/>
      <c r="B56" s="150" t="s">
        <v>176</v>
      </c>
      <c r="C56" s="17">
        <v>-24161.0</v>
      </c>
      <c r="D56" s="17">
        <v>-88107.0</v>
      </c>
      <c r="E56" s="17">
        <v>-38675.0</v>
      </c>
      <c r="F56" s="17">
        <v>-68265.0</v>
      </c>
      <c r="G56" s="17">
        <v>-71702.0</v>
      </c>
      <c r="H56" s="17">
        <v>-75196.0</v>
      </c>
      <c r="I56" s="17">
        <v>-38506.0</v>
      </c>
      <c r="J56" s="17">
        <v>-244384.0</v>
      </c>
      <c r="K56" s="17">
        <v>-279940.0</v>
      </c>
      <c r="L56" s="17">
        <v>-350571.0</v>
      </c>
      <c r="M56" s="17">
        <v>-19432.0</v>
      </c>
      <c r="N56" s="18">
        <v>-76992.0</v>
      </c>
      <c r="O56" s="18">
        <v>-163457.0</v>
      </c>
      <c r="P56" s="18">
        <v>-407013.0</v>
      </c>
      <c r="Q56" s="18">
        <v>-8924.0</v>
      </c>
      <c r="R56" s="19">
        <v>-34217.0</v>
      </c>
      <c r="S56" s="19">
        <v>-76471.0</v>
      </c>
    </row>
    <row r="57" ht="12.0" customHeight="1">
      <c r="A57" s="4"/>
      <c r="B57" s="150" t="s">
        <v>177</v>
      </c>
      <c r="C57" s="102">
        <v>0.0</v>
      </c>
      <c r="D57" s="102">
        <v>0.0</v>
      </c>
      <c r="E57" s="17">
        <v>0.0</v>
      </c>
      <c r="F57" s="17">
        <v>0.0</v>
      </c>
      <c r="G57" s="17">
        <v>0.0</v>
      </c>
      <c r="H57" s="17">
        <v>0.0</v>
      </c>
      <c r="I57" s="17">
        <v>0.0</v>
      </c>
      <c r="J57" s="17">
        <v>0.0</v>
      </c>
      <c r="K57" s="17"/>
      <c r="L57" s="17">
        <v>-62338.0</v>
      </c>
      <c r="M57" s="17">
        <v>0.0</v>
      </c>
      <c r="N57" s="18">
        <v>-43184.0</v>
      </c>
      <c r="O57" s="18">
        <v>0.0</v>
      </c>
      <c r="P57" s="18">
        <v>-77338.0</v>
      </c>
      <c r="Q57" s="18">
        <v>0.0</v>
      </c>
      <c r="R57" s="19">
        <v>-3758.0</v>
      </c>
      <c r="S57" s="19">
        <v>-10390.0</v>
      </c>
    </row>
    <row r="58" ht="12.0" customHeight="1">
      <c r="A58" s="4"/>
      <c r="B58" s="151" t="s">
        <v>178</v>
      </c>
      <c r="C58" s="102">
        <v>0.0</v>
      </c>
      <c r="D58" s="102">
        <v>0.0</v>
      </c>
      <c r="E58" s="17">
        <v>0.0</v>
      </c>
      <c r="F58" s="17">
        <v>0.0</v>
      </c>
      <c r="G58" s="17">
        <v>0.0</v>
      </c>
      <c r="H58" s="17">
        <v>0.0</v>
      </c>
      <c r="I58" s="17">
        <v>0.0</v>
      </c>
      <c r="J58" s="17">
        <v>0.0</v>
      </c>
      <c r="K58" s="17">
        <v>-62338.0</v>
      </c>
      <c r="L58" s="17">
        <v>0.0</v>
      </c>
      <c r="M58" s="17">
        <v>-1235.0</v>
      </c>
      <c r="N58" s="19">
        <v>0.0</v>
      </c>
      <c r="O58" s="18">
        <v>-47461.0</v>
      </c>
      <c r="P58" s="18">
        <v>0.0</v>
      </c>
      <c r="Q58" s="18">
        <v>0.0</v>
      </c>
      <c r="R58" s="19">
        <v>0.0</v>
      </c>
      <c r="S58" s="19">
        <v>0.0</v>
      </c>
    </row>
    <row r="59" ht="12.0" customHeight="1">
      <c r="A59" s="4"/>
      <c r="B59" s="154" t="s">
        <v>179</v>
      </c>
      <c r="C59" s="102">
        <v>0.0</v>
      </c>
      <c r="D59" s="102">
        <v>0.0</v>
      </c>
      <c r="E59" s="17">
        <v>0.0</v>
      </c>
      <c r="F59" s="17">
        <v>0.0</v>
      </c>
      <c r="G59" s="17">
        <v>0.0</v>
      </c>
      <c r="H59" s="17">
        <v>0.0</v>
      </c>
      <c r="I59" s="17">
        <v>5128.0</v>
      </c>
      <c r="J59" s="17">
        <v>0.0</v>
      </c>
      <c r="K59" s="17">
        <v>10447.0</v>
      </c>
      <c r="L59" s="17">
        <v>12668.0</v>
      </c>
      <c r="M59" s="17">
        <v>478.0</v>
      </c>
      <c r="N59" s="18">
        <v>532.0</v>
      </c>
      <c r="O59" s="18">
        <v>578.0</v>
      </c>
      <c r="P59" s="18">
        <v>1227.0</v>
      </c>
      <c r="Q59" s="18">
        <v>921.0</v>
      </c>
      <c r="R59" s="19">
        <v>1123.0</v>
      </c>
      <c r="S59" s="19">
        <v>3262.0</v>
      </c>
    </row>
    <row r="60" ht="12.0" customHeight="1">
      <c r="A60" s="4"/>
      <c r="B60" s="151" t="s">
        <v>180</v>
      </c>
      <c r="C60" s="102">
        <v>0.0</v>
      </c>
      <c r="D60" s="102">
        <v>0.0</v>
      </c>
      <c r="E60" s="17">
        <v>0.0</v>
      </c>
      <c r="F60" s="17">
        <v>0.0</v>
      </c>
      <c r="G60" s="17">
        <v>0.0</v>
      </c>
      <c r="H60" s="17">
        <v>0.0</v>
      </c>
      <c r="I60" s="17">
        <v>-381.0</v>
      </c>
      <c r="J60" s="17">
        <v>-656.0</v>
      </c>
      <c r="K60" s="17">
        <v>390.0</v>
      </c>
      <c r="L60" s="17">
        <v>390.0</v>
      </c>
      <c r="M60" s="17">
        <v>2839.0</v>
      </c>
      <c r="N60" s="18">
        <v>5983.0</v>
      </c>
      <c r="O60" s="18">
        <v>9325.0</v>
      </c>
      <c r="P60" s="18">
        <v>12200.0</v>
      </c>
      <c r="Q60" s="18">
        <v>2728.0</v>
      </c>
      <c r="R60" s="19">
        <v>5171.0</v>
      </c>
      <c r="S60" s="19">
        <v>7046.0</v>
      </c>
    </row>
    <row r="61" ht="12.0" customHeight="1">
      <c r="A61" s="4"/>
      <c r="B61" s="151" t="s">
        <v>181</v>
      </c>
      <c r="C61" s="102">
        <v>0.0</v>
      </c>
      <c r="D61" s="102">
        <v>0.0</v>
      </c>
      <c r="E61" s="17">
        <v>0.0</v>
      </c>
      <c r="F61" s="17">
        <v>0.0</v>
      </c>
      <c r="G61" s="17">
        <v>0.0</v>
      </c>
      <c r="H61" s="17">
        <v>0.0</v>
      </c>
      <c r="I61" s="17">
        <v>0.0</v>
      </c>
      <c r="J61" s="17">
        <v>0.0</v>
      </c>
      <c r="K61" s="17">
        <v>0.0</v>
      </c>
      <c r="L61" s="17">
        <v>0.0</v>
      </c>
      <c r="M61" s="17">
        <v>0.0</v>
      </c>
      <c r="N61" s="18">
        <v>-18476.0</v>
      </c>
      <c r="O61" s="18">
        <v>-37827.0</v>
      </c>
      <c r="P61" s="18">
        <v>-43414.0</v>
      </c>
      <c r="Q61" s="18">
        <v>-4143.0</v>
      </c>
      <c r="R61" s="19">
        <v>-30611.0</v>
      </c>
      <c r="S61" s="19">
        <v>-50659.0</v>
      </c>
    </row>
    <row r="62" ht="12.0" customHeight="1">
      <c r="A62" s="4"/>
      <c r="B62" s="155" t="s">
        <v>182</v>
      </c>
      <c r="C62" s="156">
        <f t="shared" ref="C62:D62" si="9">SUM(C49:C60)</f>
        <v>-69666</v>
      </c>
      <c r="D62" s="156">
        <f t="shared" si="9"/>
        <v>5409</v>
      </c>
      <c r="E62" s="156">
        <f>SUM(E49:E59)</f>
        <v>-19940</v>
      </c>
      <c r="F62" s="156">
        <f t="shared" ref="F62:M62" si="10">SUM(F49:F60)</f>
        <v>-58431</v>
      </c>
      <c r="G62" s="156">
        <f t="shared" si="10"/>
        <v>585724</v>
      </c>
      <c r="H62" s="156">
        <f t="shared" si="10"/>
        <v>1376766</v>
      </c>
      <c r="I62" s="156">
        <f t="shared" si="10"/>
        <v>-39843</v>
      </c>
      <c r="J62" s="156">
        <f t="shared" si="10"/>
        <v>-115042</v>
      </c>
      <c r="K62" s="156">
        <f t="shared" si="10"/>
        <v>-165030</v>
      </c>
      <c r="L62" s="156">
        <f t="shared" si="10"/>
        <v>100663</v>
      </c>
      <c r="M62" s="156">
        <f t="shared" si="10"/>
        <v>-23269</v>
      </c>
      <c r="N62" s="157">
        <f t="shared" ref="N62:S62" si="11">SUM(N49:N61)</f>
        <v>-144427</v>
      </c>
      <c r="O62" s="157">
        <f t="shared" si="11"/>
        <v>-209357</v>
      </c>
      <c r="P62" s="157">
        <f t="shared" si="11"/>
        <v>-333315</v>
      </c>
      <c r="Q62" s="157">
        <f t="shared" si="11"/>
        <v>34676</v>
      </c>
      <c r="R62" s="157">
        <f t="shared" si="11"/>
        <v>-23956</v>
      </c>
      <c r="S62" s="157">
        <f t="shared" si="11"/>
        <v>-39393</v>
      </c>
    </row>
    <row r="63" ht="12.0" customHeight="1">
      <c r="A63" s="4"/>
      <c r="B63" s="141" t="s">
        <v>183</v>
      </c>
      <c r="C63" s="159">
        <v>5140.0</v>
      </c>
      <c r="D63" s="159">
        <v>84990.0</v>
      </c>
      <c r="E63" s="159">
        <f t="shared" ref="E63:S63" si="12">E38+E47+E62</f>
        <v>-24104</v>
      </c>
      <c r="F63" s="159">
        <f t="shared" si="12"/>
        <v>-80290</v>
      </c>
      <c r="G63" s="159">
        <f t="shared" si="12"/>
        <v>-39833</v>
      </c>
      <c r="H63" s="159">
        <f t="shared" si="12"/>
        <v>1601</v>
      </c>
      <c r="I63" s="159">
        <f t="shared" si="12"/>
        <v>-19732</v>
      </c>
      <c r="J63" s="159">
        <f t="shared" si="12"/>
        <v>-39635</v>
      </c>
      <c r="K63" s="159">
        <f t="shared" si="12"/>
        <v>12476</v>
      </c>
      <c r="L63" s="159">
        <f t="shared" si="12"/>
        <v>54195</v>
      </c>
      <c r="M63" s="159">
        <f t="shared" si="12"/>
        <v>67030</v>
      </c>
      <c r="N63" s="160">
        <f t="shared" si="12"/>
        <v>-33588</v>
      </c>
      <c r="O63" s="160">
        <f t="shared" si="12"/>
        <v>7880</v>
      </c>
      <c r="P63" s="160">
        <f t="shared" si="12"/>
        <v>28116</v>
      </c>
      <c r="Q63" s="160">
        <f t="shared" si="12"/>
        <v>145794</v>
      </c>
      <c r="R63" s="160">
        <f t="shared" si="12"/>
        <v>51092</v>
      </c>
      <c r="S63" s="160">
        <f t="shared" si="12"/>
        <v>168044</v>
      </c>
    </row>
    <row r="64" ht="12.0" customHeight="1">
      <c r="A64" s="4"/>
      <c r="B64" s="161"/>
      <c r="C64" s="4"/>
      <c r="D64" s="4"/>
      <c r="E64" s="148"/>
      <c r="F64" s="148"/>
      <c r="G64" s="148"/>
      <c r="H64" s="148"/>
      <c r="I64" s="148"/>
      <c r="J64" s="148"/>
      <c r="K64" s="148"/>
      <c r="L64" s="148"/>
      <c r="M64" s="148"/>
      <c r="N64" s="149"/>
      <c r="O64" s="149"/>
      <c r="P64" s="149"/>
      <c r="Q64" s="149"/>
      <c r="R64" s="149"/>
      <c r="S64" s="149"/>
    </row>
    <row r="65" ht="12.0" customHeight="1">
      <c r="A65" s="4"/>
      <c r="B65" s="150" t="s">
        <v>184</v>
      </c>
      <c r="C65" s="17">
        <v>77079.0</v>
      </c>
      <c r="D65" s="17">
        <v>79500.0</v>
      </c>
      <c r="E65" s="17">
        <v>162827.0</v>
      </c>
      <c r="F65" s="17">
        <v>162827.0</v>
      </c>
      <c r="G65" s="17">
        <v>162827.0</v>
      </c>
      <c r="H65" s="17">
        <v>162827.0</v>
      </c>
      <c r="I65" s="17">
        <v>135727.0</v>
      </c>
      <c r="J65" s="17">
        <v>135727.0</v>
      </c>
      <c r="K65" s="17">
        <v>135727.0</v>
      </c>
      <c r="L65" s="17">
        <v>135727.0</v>
      </c>
      <c r="M65" s="17">
        <v>185727.0</v>
      </c>
      <c r="N65" s="18">
        <v>185727.0</v>
      </c>
      <c r="O65" s="18">
        <v>185727.0</v>
      </c>
      <c r="P65" s="18">
        <v>185727.0</v>
      </c>
      <c r="Q65" s="18">
        <v>211638.0</v>
      </c>
      <c r="R65" s="19">
        <v>211638.0</v>
      </c>
      <c r="S65" s="19">
        <v>211638.0</v>
      </c>
    </row>
    <row r="66" ht="12.0" customHeight="1">
      <c r="A66" s="4"/>
      <c r="B66" s="150" t="s">
        <v>185</v>
      </c>
      <c r="C66" s="17">
        <v>-1464.0</v>
      </c>
      <c r="D66" s="17">
        <v>-1663.0</v>
      </c>
      <c r="E66" s="17">
        <v>-7426.0</v>
      </c>
      <c r="F66" s="17">
        <v>5713.0</v>
      </c>
      <c r="G66" s="17">
        <v>-2937.0</v>
      </c>
      <c r="H66" s="17">
        <v>-20949.0</v>
      </c>
      <c r="I66" s="17">
        <v>15832.0</v>
      </c>
      <c r="J66" s="17">
        <v>8098.0</v>
      </c>
      <c r="K66" s="17">
        <v>3647.0</v>
      </c>
      <c r="L66" s="17">
        <v>-4195.0</v>
      </c>
      <c r="M66" s="17">
        <v>-1207.0</v>
      </c>
      <c r="N66" s="18">
        <v>-2907.0</v>
      </c>
      <c r="O66" s="18">
        <v>688.0</v>
      </c>
      <c r="P66" s="18">
        <v>-2205.0</v>
      </c>
      <c r="Q66" s="18">
        <v>2864.0</v>
      </c>
      <c r="R66" s="19">
        <v>2040.0</v>
      </c>
      <c r="S66" s="19">
        <v>3687.0</v>
      </c>
    </row>
    <row r="67" ht="12.0" customHeight="1">
      <c r="A67" s="4"/>
      <c r="B67" s="162" t="s">
        <v>186</v>
      </c>
      <c r="C67" s="163">
        <v>-1255.0</v>
      </c>
      <c r="D67" s="163">
        <v>0.0</v>
      </c>
      <c r="E67" s="163">
        <v>0.0</v>
      </c>
      <c r="F67" s="163">
        <v>-7752.0</v>
      </c>
      <c r="G67" s="163">
        <v>-7752.0</v>
      </c>
      <c r="H67" s="163">
        <v>-7752.0</v>
      </c>
      <c r="I67" s="163">
        <v>0.0</v>
      </c>
      <c r="J67" s="163">
        <v>0.0</v>
      </c>
      <c r="K67" s="163">
        <v>0.0</v>
      </c>
      <c r="L67" s="163">
        <v>0.0</v>
      </c>
      <c r="M67" s="163">
        <v>0.0</v>
      </c>
      <c r="N67" s="164">
        <v>0.0</v>
      </c>
      <c r="O67" s="164">
        <v>0.0</v>
      </c>
      <c r="P67" s="164">
        <v>0.0</v>
      </c>
      <c r="Q67" s="164">
        <v>0.0</v>
      </c>
      <c r="R67" s="165">
        <v>0.0</v>
      </c>
      <c r="S67" s="165">
        <v>0.0</v>
      </c>
    </row>
    <row r="68" ht="12.0" customHeight="1">
      <c r="A68" s="4"/>
      <c r="B68" s="166" t="s">
        <v>12</v>
      </c>
      <c r="C68" s="156">
        <f t="shared" ref="C68:S68" si="13">sum(C63:C67)</f>
        <v>79500</v>
      </c>
      <c r="D68" s="156">
        <f t="shared" si="13"/>
        <v>162827</v>
      </c>
      <c r="E68" s="156">
        <f t="shared" si="13"/>
        <v>131297</v>
      </c>
      <c r="F68" s="156">
        <f t="shared" si="13"/>
        <v>80498</v>
      </c>
      <c r="G68" s="156">
        <f t="shared" si="13"/>
        <v>112305</v>
      </c>
      <c r="H68" s="156">
        <f t="shared" si="13"/>
        <v>135727</v>
      </c>
      <c r="I68" s="156">
        <f t="shared" si="13"/>
        <v>131827</v>
      </c>
      <c r="J68" s="156">
        <f t="shared" si="13"/>
        <v>104190</v>
      </c>
      <c r="K68" s="156">
        <f t="shared" si="13"/>
        <v>151850</v>
      </c>
      <c r="L68" s="156">
        <f t="shared" si="13"/>
        <v>185727</v>
      </c>
      <c r="M68" s="156">
        <f t="shared" si="13"/>
        <v>251550</v>
      </c>
      <c r="N68" s="157">
        <f t="shared" si="13"/>
        <v>149232</v>
      </c>
      <c r="O68" s="157">
        <f t="shared" si="13"/>
        <v>194295</v>
      </c>
      <c r="P68" s="157">
        <f t="shared" si="13"/>
        <v>211638</v>
      </c>
      <c r="Q68" s="157">
        <f t="shared" si="13"/>
        <v>360296</v>
      </c>
      <c r="R68" s="157">
        <f t="shared" si="13"/>
        <v>264770</v>
      </c>
      <c r="S68" s="157">
        <f t="shared" si="13"/>
        <v>383369</v>
      </c>
    </row>
  </sheetData>
  <conditionalFormatting sqref="A1:S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8.75"/>
    <col customWidth="1" min="4" max="4" width="6.63"/>
    <col customWidth="1" min="5" max="5" width="8.75"/>
    <col customWidth="1" min="6" max="6" width="6.63"/>
    <col customWidth="1" min="7" max="7" width="10.5"/>
    <col customWidth="1" min="8" max="8" width="5.75"/>
    <col customWidth="1" min="9" max="9" width="9.5"/>
    <col customWidth="1" min="10" max="10" width="5.75"/>
    <col customWidth="1" min="11" max="11" width="10.25"/>
    <col customWidth="1" min="12" max="12" width="5.75"/>
    <col customWidth="1" min="13" max="13" width="10.25"/>
    <col customWidth="1" min="14" max="14" width="5.75"/>
    <col customWidth="1" min="15" max="15" width="10.25"/>
    <col customWidth="1" min="16" max="16" width="5.75"/>
    <col customWidth="1" min="17" max="17" width="8.13"/>
    <col customWidth="1" min="18" max="18" width="7.0"/>
    <col customWidth="1" min="19" max="19" width="8.13"/>
    <col customWidth="1" min="20" max="20" width="7.0"/>
    <col customWidth="1" min="21" max="21" width="9.5"/>
    <col customWidth="1" min="22" max="22" width="7.0"/>
    <col customWidth="1" min="23" max="23" width="8.13"/>
    <col customWidth="1" min="24" max="24" width="7.0"/>
    <col customWidth="1" min="25" max="25" width="9.5"/>
    <col customWidth="1" min="26" max="26" width="7.0"/>
    <col customWidth="1" min="27" max="27" width="8.13"/>
    <col customWidth="1" min="28" max="28" width="7.0"/>
    <col customWidth="1" min="29" max="29" width="9.5"/>
    <col customWidth="1" min="30" max="30" width="7.0"/>
    <col customWidth="1" min="31" max="31" width="9.5"/>
    <col customWidth="1" min="32" max="32" width="7.0"/>
    <col customWidth="1" min="33" max="33" width="9.5"/>
    <col customWidth="1" min="34" max="34" width="7.0"/>
    <col customWidth="1" min="35" max="35" width="9.5"/>
    <col customWidth="1" min="36" max="36" width="7.0"/>
    <col customWidth="1" min="37" max="37" width="9.5"/>
    <col customWidth="1" min="38" max="38" width="7.0"/>
    <col customWidth="1" min="39" max="39" width="9.5"/>
    <col customWidth="1" min="40" max="40" width="7.0"/>
  </cols>
  <sheetData>
    <row r="1" ht="12.0" customHeight="1">
      <c r="A1" s="1" t="s">
        <v>187</v>
      </c>
      <c r="B1" s="2"/>
      <c r="C1" s="2"/>
      <c r="D1" s="2"/>
      <c r="E1" s="2"/>
      <c r="F1" s="167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</row>
    <row r="2" ht="12.0" customHeight="1">
      <c r="A2" s="3" t="s">
        <v>1</v>
      </c>
      <c r="B2" s="3"/>
      <c r="C2" s="4"/>
      <c r="D2" s="4"/>
      <c r="E2" s="4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70"/>
      <c r="AL2" s="169"/>
      <c r="AM2" s="170"/>
      <c r="AN2" s="169"/>
    </row>
    <row r="3" ht="12.0" customHeight="1">
      <c r="A3" s="3"/>
      <c r="B3" s="31"/>
      <c r="C3" s="4"/>
      <c r="D3" s="4"/>
      <c r="E3" s="4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70"/>
      <c r="AL3" s="169"/>
      <c r="AM3" s="170"/>
      <c r="AN3" s="169"/>
    </row>
    <row r="4" ht="12.0" customHeight="1">
      <c r="A4" s="3"/>
      <c r="B4" s="31" t="s">
        <v>188</v>
      </c>
      <c r="C4" s="4"/>
      <c r="D4" s="4"/>
      <c r="E4" s="4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</row>
    <row r="5">
      <c r="A5" s="36"/>
      <c r="B5" s="98"/>
      <c r="C5" s="171">
        <v>2021.0</v>
      </c>
      <c r="E5" s="171" t="s">
        <v>67</v>
      </c>
      <c r="G5" s="171" t="s">
        <v>68</v>
      </c>
      <c r="I5" s="171" t="s">
        <v>69</v>
      </c>
      <c r="K5" s="171" t="s">
        <v>70</v>
      </c>
      <c r="M5" s="171" t="s">
        <v>71</v>
      </c>
      <c r="O5" s="171">
        <v>2022.0</v>
      </c>
      <c r="Q5" s="171" t="s">
        <v>73</v>
      </c>
      <c r="S5" s="171" t="s">
        <v>74</v>
      </c>
      <c r="U5" s="171" t="s">
        <v>75</v>
      </c>
      <c r="W5" s="171" t="s">
        <v>76</v>
      </c>
      <c r="Y5" s="171" t="s">
        <v>77</v>
      </c>
      <c r="AA5" s="171" t="s">
        <v>78</v>
      </c>
      <c r="AC5" s="171">
        <v>2023.0</v>
      </c>
      <c r="AE5" s="171" t="s">
        <v>79</v>
      </c>
      <c r="AG5" s="172" t="s">
        <v>80</v>
      </c>
      <c r="AI5" s="172" t="s">
        <v>81</v>
      </c>
      <c r="AK5" s="172" t="s">
        <v>82</v>
      </c>
      <c r="AM5" s="172" t="s">
        <v>83</v>
      </c>
    </row>
    <row r="6" ht="12.0" customHeight="1">
      <c r="A6" s="36"/>
      <c r="B6" s="144" t="s">
        <v>189</v>
      </c>
      <c r="C6" s="173">
        <v>494189.0</v>
      </c>
      <c r="D6" s="174">
        <f t="shared" ref="D6:D11" si="1">C6/$C$12</f>
        <v>0.3421461111</v>
      </c>
      <c r="E6" s="173">
        <v>156326.0</v>
      </c>
      <c r="F6" s="174">
        <f t="shared" ref="F6:F11" si="2">E6/$E$12</f>
        <v>0.3178184568</v>
      </c>
      <c r="G6" s="175">
        <v>161662.0</v>
      </c>
      <c r="H6" s="176">
        <f t="shared" ref="H6:H11" si="3">G6/$G$12</f>
        <v>0.3079188214</v>
      </c>
      <c r="I6" s="175">
        <v>317987.0</v>
      </c>
      <c r="J6" s="176">
        <f t="shared" ref="J6:J11" si="4">I6/$I$12</f>
        <v>0.3127063282</v>
      </c>
      <c r="K6" s="175">
        <v>161185.0</v>
      </c>
      <c r="L6" s="176">
        <f t="shared" ref="L6:L11" si="5">K6/$K$12</f>
        <v>0.2883359749</v>
      </c>
      <c r="M6" s="175">
        <v>479172.0</v>
      </c>
      <c r="N6" s="176">
        <f t="shared" ref="N6:N11" si="6">M6/$M$12</f>
        <v>0.3040614758</v>
      </c>
      <c r="O6" s="175">
        <v>652089.0</v>
      </c>
      <c r="P6" s="176">
        <f t="shared" ref="P6:P11" si="7">O6/$O$12</f>
        <v>0.2980692139</v>
      </c>
      <c r="Q6" s="177">
        <v>174783.0</v>
      </c>
      <c r="R6" s="174">
        <v>0.2865</v>
      </c>
      <c r="S6" s="178">
        <v>159031.0</v>
      </c>
      <c r="T6" s="174">
        <f t="shared" ref="T6:T11" si="8">S6/$S$12</f>
        <v>0.2781079058</v>
      </c>
      <c r="U6" s="178">
        <v>333814.0</v>
      </c>
      <c r="V6" s="174">
        <f t="shared" ref="V6:V11" si="9">U6/$U$12</f>
        <v>0.2824566094</v>
      </c>
      <c r="W6" s="178">
        <v>158592.0</v>
      </c>
      <c r="X6" s="174">
        <f t="shared" ref="X6:X11" si="10">W6/$W$12</f>
        <v>0.2997488107</v>
      </c>
      <c r="Y6" s="178">
        <v>492406.0</v>
      </c>
      <c r="Z6" s="174">
        <f t="shared" ref="Z6:Z11" si="11">Y6/$Y$12</f>
        <v>0.2878040712</v>
      </c>
      <c r="AA6" s="178">
        <v>154657.0</v>
      </c>
      <c r="AB6" s="174">
        <f t="shared" ref="AB6:AB11" si="12">AA6/$AA$12</f>
        <v>0.2959602725</v>
      </c>
      <c r="AC6" s="178">
        <f t="shared" ref="AC6:AC10" si="13">Y6+AA6</f>
        <v>647063</v>
      </c>
      <c r="AD6" s="174">
        <f t="shared" ref="AD6:AD11" si="14">AC6/$AC$12</f>
        <v>0.2897124917</v>
      </c>
      <c r="AE6" s="178">
        <v>147720.0</v>
      </c>
      <c r="AF6" s="174">
        <f t="shared" ref="AF6:AF11" si="15">AE6/$AE$12</f>
        <v>0.2821727993</v>
      </c>
      <c r="AG6" s="170">
        <v>157689.0</v>
      </c>
      <c r="AH6" s="174">
        <f t="shared" ref="AH6:AH11" si="16">AG6/$AG$12</f>
        <v>0.2787738751</v>
      </c>
      <c r="AI6" s="178">
        <f t="shared" ref="AI6:AI11" si="17">AE6+AG6</f>
        <v>305409</v>
      </c>
      <c r="AJ6" s="174">
        <f t="shared" ref="AJ6:AJ11" si="18">AI6/$AI$12</f>
        <v>0.2804075798</v>
      </c>
      <c r="AK6" s="170">
        <v>176422.0</v>
      </c>
      <c r="AL6" s="174">
        <f t="shared" ref="AL6:AL11" si="19">AK6/$AK$12</f>
        <v>0.2835637135</v>
      </c>
      <c r="AM6" s="170">
        <v>481831.0</v>
      </c>
      <c r="AN6" s="174">
        <f t="shared" ref="AN6:AN11" si="20">AM6/$AM$12</f>
        <v>0.2815550093</v>
      </c>
    </row>
    <row r="7" ht="12.0" customHeight="1">
      <c r="A7" s="36"/>
      <c r="B7" s="144" t="s">
        <v>190</v>
      </c>
      <c r="C7" s="173">
        <v>370152.0</v>
      </c>
      <c r="D7" s="174">
        <f t="shared" si="1"/>
        <v>0.2562705105</v>
      </c>
      <c r="E7" s="173">
        <v>104369.0</v>
      </c>
      <c r="F7" s="174">
        <f t="shared" si="2"/>
        <v>0.212187317</v>
      </c>
      <c r="G7" s="175">
        <v>119650.0</v>
      </c>
      <c r="H7" s="176">
        <f t="shared" si="3"/>
        <v>0.2278982505</v>
      </c>
      <c r="I7" s="175">
        <v>224019.0</v>
      </c>
      <c r="J7" s="176">
        <f t="shared" si="4"/>
        <v>0.2202988139</v>
      </c>
      <c r="K7" s="175">
        <v>127097.0</v>
      </c>
      <c r="L7" s="176">
        <f t="shared" si="5"/>
        <v>0.2273576164</v>
      </c>
      <c r="M7" s="175">
        <v>351116.0</v>
      </c>
      <c r="N7" s="176">
        <f t="shared" si="6"/>
        <v>0.2228027705</v>
      </c>
      <c r="O7" s="175">
        <v>473871.0</v>
      </c>
      <c r="P7" s="176">
        <f t="shared" si="7"/>
        <v>0.2166059487</v>
      </c>
      <c r="Q7" s="177">
        <v>116156.2963</v>
      </c>
      <c r="R7" s="174">
        <v>0.1904</v>
      </c>
      <c r="S7" s="178">
        <v>121993.0</v>
      </c>
      <c r="T7" s="174">
        <f t="shared" si="8"/>
        <v>0.213337134</v>
      </c>
      <c r="U7" s="178">
        <v>238149.0</v>
      </c>
      <c r="V7" s="174">
        <f t="shared" si="9"/>
        <v>0.2015097003</v>
      </c>
      <c r="W7" s="178">
        <v>105562.0</v>
      </c>
      <c r="X7" s="174">
        <f t="shared" si="10"/>
        <v>0.1995187901</v>
      </c>
      <c r="Y7" s="178">
        <v>343712.0</v>
      </c>
      <c r="Z7" s="174">
        <f t="shared" si="11"/>
        <v>0.2008946132</v>
      </c>
      <c r="AA7" s="178">
        <v>104875.0</v>
      </c>
      <c r="AB7" s="174">
        <f t="shared" si="12"/>
        <v>0.2006946571</v>
      </c>
      <c r="AC7" s="178">
        <f t="shared" si="13"/>
        <v>448587</v>
      </c>
      <c r="AD7" s="174">
        <f t="shared" si="14"/>
        <v>0.2008479198</v>
      </c>
      <c r="AE7" s="178">
        <v>110002.0</v>
      </c>
      <c r="AF7" s="174">
        <f t="shared" si="15"/>
        <v>0.2101243723</v>
      </c>
      <c r="AG7" s="170">
        <v>131714.0</v>
      </c>
      <c r="AH7" s="174">
        <f t="shared" si="16"/>
        <v>0.2328534152</v>
      </c>
      <c r="AI7" s="178">
        <f t="shared" si="17"/>
        <v>241716</v>
      </c>
      <c r="AJ7" s="174">
        <f t="shared" si="18"/>
        <v>0.2219286221</v>
      </c>
      <c r="AK7" s="170">
        <v>139212.0</v>
      </c>
      <c r="AL7" s="174">
        <f t="shared" si="19"/>
        <v>0.223755947</v>
      </c>
      <c r="AM7" s="170">
        <v>380928.0</v>
      </c>
      <c r="AN7" s="174">
        <f t="shared" si="20"/>
        <v>0.222592956</v>
      </c>
    </row>
    <row r="8" ht="12.0" customHeight="1">
      <c r="A8" s="36"/>
      <c r="B8" s="179" t="s">
        <v>191</v>
      </c>
      <c r="C8" s="173">
        <v>145846.0</v>
      </c>
      <c r="D8" s="174">
        <f t="shared" si="1"/>
        <v>0.1009748127</v>
      </c>
      <c r="E8" s="173">
        <v>73222.0</v>
      </c>
      <c r="F8" s="174">
        <f t="shared" si="2"/>
        <v>0.1488639321</v>
      </c>
      <c r="G8" s="175">
        <v>75167.0</v>
      </c>
      <c r="H8" s="176">
        <f t="shared" si="3"/>
        <v>0.1431711475</v>
      </c>
      <c r="I8" s="175">
        <v>148389.0</v>
      </c>
      <c r="J8" s="176">
        <f t="shared" si="4"/>
        <v>0.1459247684</v>
      </c>
      <c r="K8" s="175">
        <v>79226.0</v>
      </c>
      <c r="L8" s="176">
        <f t="shared" si="5"/>
        <v>0.1417235223</v>
      </c>
      <c r="M8" s="175">
        <v>227615.0</v>
      </c>
      <c r="N8" s="176">
        <f t="shared" si="6"/>
        <v>0.1444344678</v>
      </c>
      <c r="O8" s="175">
        <v>307995.0</v>
      </c>
      <c r="P8" s="176">
        <f t="shared" si="7"/>
        <v>0.140784199</v>
      </c>
      <c r="Q8" s="177">
        <v>75814.35065</v>
      </c>
      <c r="R8" s="174">
        <v>0.1243</v>
      </c>
      <c r="S8" s="178">
        <v>68099.0</v>
      </c>
      <c r="T8" s="174">
        <f t="shared" si="8"/>
        <v>0.119089173</v>
      </c>
      <c r="U8" s="178">
        <v>143913.0</v>
      </c>
      <c r="V8" s="174">
        <f t="shared" si="9"/>
        <v>0.121771939</v>
      </c>
      <c r="W8" s="178">
        <v>64438.0</v>
      </c>
      <c r="X8" s="174">
        <f t="shared" si="10"/>
        <v>0.121791855</v>
      </c>
      <c r="Y8" s="178">
        <v>208351.0</v>
      </c>
      <c r="Z8" s="174">
        <f t="shared" si="11"/>
        <v>0.1217780978</v>
      </c>
      <c r="AA8" s="178">
        <v>66206.0</v>
      </c>
      <c r="AB8" s="174">
        <f t="shared" si="12"/>
        <v>0.1266954991</v>
      </c>
      <c r="AC8" s="178">
        <f t="shared" si="13"/>
        <v>274557</v>
      </c>
      <c r="AD8" s="174">
        <f t="shared" si="14"/>
        <v>0.1229286678</v>
      </c>
      <c r="AE8" s="178">
        <v>91058.0</v>
      </c>
      <c r="AF8" s="174">
        <f t="shared" si="15"/>
        <v>0.1739377929</v>
      </c>
      <c r="AG8" s="170">
        <v>105374.0</v>
      </c>
      <c r="AH8" s="174">
        <f t="shared" si="16"/>
        <v>0.1862876822</v>
      </c>
      <c r="AI8" s="178">
        <f t="shared" si="17"/>
        <v>196432</v>
      </c>
      <c r="AJ8" s="174">
        <f t="shared" si="18"/>
        <v>0.1803516652</v>
      </c>
      <c r="AK8" s="170">
        <v>130334.0</v>
      </c>
      <c r="AL8" s="174">
        <f t="shared" si="19"/>
        <v>0.2094863058</v>
      </c>
      <c r="AM8" s="170">
        <v>326766.0</v>
      </c>
      <c r="AN8" s="174">
        <f t="shared" si="20"/>
        <v>0.1909437213</v>
      </c>
    </row>
    <row r="9" ht="12.0" customHeight="1">
      <c r="A9" s="36"/>
      <c r="B9" s="179" t="s">
        <v>192</v>
      </c>
      <c r="C9" s="173">
        <v>170296.0</v>
      </c>
      <c r="D9" s="174">
        <f t="shared" si="1"/>
        <v>0.117902491</v>
      </c>
      <c r="E9" s="173">
        <v>68056.0</v>
      </c>
      <c r="F9" s="174">
        <f t="shared" si="2"/>
        <v>0.1383611997</v>
      </c>
      <c r="G9" s="175">
        <v>69895.0</v>
      </c>
      <c r="H9" s="176">
        <f t="shared" si="3"/>
        <v>0.1331295296</v>
      </c>
      <c r="I9" s="175">
        <v>137951.0</v>
      </c>
      <c r="J9" s="176">
        <f t="shared" si="4"/>
        <v>0.1356601078</v>
      </c>
      <c r="K9" s="175">
        <v>78146.0</v>
      </c>
      <c r="L9" s="176">
        <f t="shared" si="5"/>
        <v>0.1397915631</v>
      </c>
      <c r="M9" s="175">
        <v>216097.0</v>
      </c>
      <c r="N9" s="176">
        <f t="shared" si="6"/>
        <v>0.1371256516</v>
      </c>
      <c r="O9" s="175">
        <v>329787.0</v>
      </c>
      <c r="P9" s="176">
        <f t="shared" si="7"/>
        <v>0.1507452999</v>
      </c>
      <c r="Q9" s="177">
        <v>125060.2087</v>
      </c>
      <c r="R9" s="174">
        <v>0.205</v>
      </c>
      <c r="S9" s="178">
        <v>104127.0</v>
      </c>
      <c r="T9" s="174">
        <f t="shared" si="8"/>
        <v>0.1820936919</v>
      </c>
      <c r="U9" s="178">
        <v>229187.0</v>
      </c>
      <c r="V9" s="174">
        <f t="shared" si="9"/>
        <v>0.1939265068</v>
      </c>
      <c r="W9" s="178">
        <v>84147.0</v>
      </c>
      <c r="X9" s="174">
        <f t="shared" si="10"/>
        <v>0.1590430991</v>
      </c>
      <c r="Y9" s="178">
        <v>313334.0</v>
      </c>
      <c r="Z9" s="174">
        <f t="shared" si="11"/>
        <v>0.1831391186</v>
      </c>
      <c r="AA9" s="178">
        <v>73957.0</v>
      </c>
      <c r="AB9" s="174">
        <f t="shared" si="12"/>
        <v>0.1415282456</v>
      </c>
      <c r="AC9" s="178">
        <f t="shared" si="13"/>
        <v>387291</v>
      </c>
      <c r="AD9" s="174">
        <f t="shared" si="14"/>
        <v>0.1734035799</v>
      </c>
      <c r="AE9" s="178">
        <v>60628.0</v>
      </c>
      <c r="AF9" s="174">
        <f t="shared" si="15"/>
        <v>0.1158108075</v>
      </c>
      <c r="AG9" s="170">
        <v>64134.0</v>
      </c>
      <c r="AH9" s="174">
        <f t="shared" si="16"/>
        <v>0.1133806651</v>
      </c>
      <c r="AI9" s="178">
        <f t="shared" si="17"/>
        <v>124762</v>
      </c>
      <c r="AJ9" s="174">
        <f t="shared" si="18"/>
        <v>0.1145487214</v>
      </c>
      <c r="AK9" s="170">
        <v>70863.0</v>
      </c>
      <c r="AL9" s="174">
        <f t="shared" si="19"/>
        <v>0.1138983541</v>
      </c>
      <c r="AM9" s="170">
        <v>195625.0</v>
      </c>
      <c r="AN9" s="174">
        <f t="shared" si="20"/>
        <v>0.1143122769</v>
      </c>
    </row>
    <row r="10" ht="12.0" customHeight="1">
      <c r="A10" s="36"/>
      <c r="B10" s="179" t="s">
        <v>193</v>
      </c>
      <c r="C10" s="173">
        <v>197286.0</v>
      </c>
      <c r="D10" s="174">
        <f t="shared" si="1"/>
        <v>0.1365887093</v>
      </c>
      <c r="E10" s="173">
        <v>62893.0</v>
      </c>
      <c r="F10" s="174">
        <f t="shared" si="2"/>
        <v>0.1278645664</v>
      </c>
      <c r="G10" s="175">
        <v>67835.0</v>
      </c>
      <c r="H10" s="176">
        <f t="shared" si="3"/>
        <v>0.1292058322</v>
      </c>
      <c r="I10" s="175">
        <v>130728.0</v>
      </c>
      <c r="J10" s="176">
        <f t="shared" si="4"/>
        <v>0.128557057</v>
      </c>
      <c r="K10" s="175">
        <v>72063.0</v>
      </c>
      <c r="L10" s="176">
        <f t="shared" si="5"/>
        <v>0.1289099814</v>
      </c>
      <c r="M10" s="175">
        <v>202791.0</v>
      </c>
      <c r="N10" s="176">
        <f t="shared" si="6"/>
        <v>0.1286822492</v>
      </c>
      <c r="O10" s="175">
        <v>274353.0</v>
      </c>
      <c r="P10" s="176">
        <f t="shared" si="7"/>
        <v>0.1254064753</v>
      </c>
      <c r="Q10" s="177">
        <v>63281.03588</v>
      </c>
      <c r="R10" s="174">
        <v>0.1037</v>
      </c>
      <c r="S10" s="178">
        <v>64387.0</v>
      </c>
      <c r="T10" s="174">
        <f t="shared" si="8"/>
        <v>0.112597756</v>
      </c>
      <c r="U10" s="178">
        <v>127668.0</v>
      </c>
      <c r="V10" s="174">
        <f t="shared" si="9"/>
        <v>0.1080262374</v>
      </c>
      <c r="W10" s="178">
        <v>57372.0</v>
      </c>
      <c r="X10" s="174">
        <f t="shared" si="10"/>
        <v>0.1084366725</v>
      </c>
      <c r="Y10" s="178">
        <v>185040.0</v>
      </c>
      <c r="Z10" s="174">
        <f t="shared" si="11"/>
        <v>0.1081531609</v>
      </c>
      <c r="AA10" s="178">
        <v>61998.0</v>
      </c>
      <c r="AB10" s="174">
        <f t="shared" si="12"/>
        <v>0.1186428353</v>
      </c>
      <c r="AC10" s="178">
        <f t="shared" si="13"/>
        <v>247038</v>
      </c>
      <c r="AD10" s="174">
        <f t="shared" si="14"/>
        <v>0.1106074594</v>
      </c>
      <c r="AE10" s="178">
        <v>54372.0</v>
      </c>
      <c r="AF10" s="174">
        <f t="shared" si="15"/>
        <v>0.1038606786</v>
      </c>
      <c r="AG10" s="170">
        <v>54410.0</v>
      </c>
      <c r="AH10" s="174">
        <f t="shared" si="16"/>
        <v>0.09618988353</v>
      </c>
      <c r="AI10" s="178">
        <f t="shared" si="17"/>
        <v>108782</v>
      </c>
      <c r="AJ10" s="174">
        <f t="shared" si="18"/>
        <v>0.09987687771</v>
      </c>
      <c r="AK10" s="170">
        <v>51353.0</v>
      </c>
      <c r="AL10" s="174">
        <f t="shared" si="19"/>
        <v>0.08253986113</v>
      </c>
      <c r="AM10" s="170">
        <v>160135.0</v>
      </c>
      <c r="AN10" s="174">
        <f t="shared" si="20"/>
        <v>0.09357391162</v>
      </c>
    </row>
    <row r="11" ht="12.0" customHeight="1">
      <c r="A11" s="36"/>
      <c r="B11" s="180" t="s">
        <v>149</v>
      </c>
      <c r="C11" s="173">
        <v>66611.0</v>
      </c>
      <c r="D11" s="174">
        <f t="shared" si="1"/>
        <v>0.04611736524</v>
      </c>
      <c r="E11" s="173">
        <v>27006.0</v>
      </c>
      <c r="F11" s="174">
        <f t="shared" si="2"/>
        <v>0.05490452801</v>
      </c>
      <c r="G11" s="175">
        <v>30806.0</v>
      </c>
      <c r="H11" s="176">
        <f t="shared" si="3"/>
        <v>0.05867641877</v>
      </c>
      <c r="I11" s="175">
        <v>57813.0</v>
      </c>
      <c r="J11" s="176">
        <f t="shared" si="4"/>
        <v>0.05685292466</v>
      </c>
      <c r="K11" s="175">
        <v>41301.0</v>
      </c>
      <c r="L11" s="176">
        <f t="shared" si="5"/>
        <v>0.07388134192</v>
      </c>
      <c r="M11" s="175">
        <v>99114.0</v>
      </c>
      <c r="N11" s="176">
        <f t="shared" si="6"/>
        <v>0.06289338507</v>
      </c>
      <c r="O11" s="175">
        <v>149615.0</v>
      </c>
      <c r="P11" s="176">
        <f t="shared" si="7"/>
        <v>0.06838886324</v>
      </c>
      <c r="Q11" s="177">
        <v>54896.30225</v>
      </c>
      <c r="R11" s="174">
        <v>0.09</v>
      </c>
      <c r="S11" s="178">
        <v>54195.0</v>
      </c>
      <c r="T11" s="174">
        <f t="shared" si="8"/>
        <v>0.09477433932</v>
      </c>
      <c r="U11" s="170">
        <f>109093</f>
        <v>109093</v>
      </c>
      <c r="V11" s="174">
        <f t="shared" si="9"/>
        <v>0.09230900709</v>
      </c>
      <c r="W11" s="178">
        <v>58972.0</v>
      </c>
      <c r="X11" s="174">
        <f t="shared" si="10"/>
        <v>0.1114607727</v>
      </c>
      <c r="Y11" s="178">
        <v>168064.0</v>
      </c>
      <c r="Z11" s="174">
        <f t="shared" si="11"/>
        <v>0.09823093833</v>
      </c>
      <c r="AA11" s="178">
        <v>60868.0</v>
      </c>
      <c r="AB11" s="174">
        <f t="shared" si="12"/>
        <v>0.1164804042</v>
      </c>
      <c r="AC11" s="178">
        <f>Y11+AA11-2</f>
        <v>228930</v>
      </c>
      <c r="AD11" s="174">
        <f t="shared" si="14"/>
        <v>0.1024998814</v>
      </c>
      <c r="AE11" s="178">
        <v>59729.0</v>
      </c>
      <c r="AF11" s="174">
        <f t="shared" si="15"/>
        <v>0.1140935495</v>
      </c>
      <c r="AG11" s="170">
        <v>52331.0</v>
      </c>
      <c r="AH11" s="174">
        <f t="shared" si="16"/>
        <v>0.09251447887</v>
      </c>
      <c r="AI11" s="178">
        <f t="shared" si="17"/>
        <v>112060</v>
      </c>
      <c r="AJ11" s="174">
        <f t="shared" si="18"/>
        <v>0.1028865338</v>
      </c>
      <c r="AK11" s="170">
        <v>53976.0</v>
      </c>
      <c r="AL11" s="174">
        <f t="shared" si="19"/>
        <v>0.08675581844</v>
      </c>
      <c r="AM11" s="170">
        <v>166036.0</v>
      </c>
      <c r="AN11" s="174">
        <f t="shared" si="20"/>
        <v>0.09702212501</v>
      </c>
    </row>
    <row r="12" ht="12.0" customHeight="1">
      <c r="A12" s="36"/>
      <c r="B12" s="181" t="s">
        <v>194</v>
      </c>
      <c r="C12" s="182">
        <f>SUM(C6:C11)</f>
        <v>1444380</v>
      </c>
      <c r="D12" s="183"/>
      <c r="E12" s="182">
        <f>SUM(E6:E11)</f>
        <v>491872</v>
      </c>
      <c r="F12" s="183"/>
      <c r="G12" s="182">
        <f>SUM(G6:G11)</f>
        <v>525015</v>
      </c>
      <c r="H12" s="182"/>
      <c r="I12" s="182">
        <f>SUM(I6:I11)</f>
        <v>1016887</v>
      </c>
      <c r="J12" s="182"/>
      <c r="K12" s="182">
        <f>SUM(K6:K11)</f>
        <v>559018</v>
      </c>
      <c r="L12" s="182"/>
      <c r="M12" s="182">
        <f>SUM(M6:M11)</f>
        <v>1575905</v>
      </c>
      <c r="N12" s="182"/>
      <c r="O12" s="182">
        <f>SUM(O6:O11)</f>
        <v>2187710</v>
      </c>
      <c r="P12" s="182"/>
      <c r="Q12" s="182">
        <f>SUM(Q6:Q11)</f>
        <v>609991.1938</v>
      </c>
      <c r="R12" s="183"/>
      <c r="S12" s="182">
        <f>SUM(S6:S11)</f>
        <v>571832</v>
      </c>
      <c r="T12" s="183"/>
      <c r="U12" s="182">
        <f>SUM(U6:U11)</f>
        <v>1181824</v>
      </c>
      <c r="V12" s="183"/>
      <c r="W12" s="182">
        <f>SUM(W6:W11)</f>
        <v>529083</v>
      </c>
      <c r="X12" s="183"/>
      <c r="Y12" s="182">
        <f>SUM(Y6:Y11)</f>
        <v>1710907</v>
      </c>
      <c r="Z12" s="183"/>
      <c r="AA12" s="182">
        <f>SUM(AA6:AA11)-1</f>
        <v>522560</v>
      </c>
      <c r="AB12" s="183"/>
      <c r="AC12" s="182">
        <f>SUM(AC6:AC11)</f>
        <v>2233466</v>
      </c>
      <c r="AD12" s="183"/>
      <c r="AE12" s="182">
        <f>SUM(AE6:AE11)</f>
        <v>523509</v>
      </c>
      <c r="AF12" s="183"/>
      <c r="AG12" s="182">
        <f>SUM(AG6:AG11)</f>
        <v>565652</v>
      </c>
      <c r="AH12" s="183"/>
      <c r="AI12" s="182">
        <f>SUM(AI6:AI11)</f>
        <v>1089161</v>
      </c>
      <c r="AJ12" s="183"/>
      <c r="AK12" s="182">
        <f>SUM(AK6:AK11)</f>
        <v>622160</v>
      </c>
      <c r="AL12" s="183"/>
      <c r="AM12" s="182">
        <f>SUM(AM6:AM11)</f>
        <v>1711321</v>
      </c>
      <c r="AN12" s="183"/>
    </row>
    <row r="13" ht="12.0" customHeight="1">
      <c r="A13" s="36"/>
      <c r="B13" s="36"/>
      <c r="C13" s="4"/>
      <c r="D13" s="4"/>
      <c r="E13" s="4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</row>
    <row r="14" ht="12.0" customHeight="1">
      <c r="A14" s="36"/>
      <c r="B14" s="36"/>
      <c r="C14" s="4"/>
      <c r="D14" s="4"/>
      <c r="E14" s="4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</row>
    <row r="15" ht="12.0" customHeight="1">
      <c r="A15" s="36"/>
      <c r="B15" s="31" t="s">
        <v>195</v>
      </c>
      <c r="C15" s="4"/>
      <c r="D15" s="4"/>
      <c r="E15" s="4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</row>
    <row r="16" ht="12.0" customHeight="1">
      <c r="A16" s="36"/>
      <c r="B16" s="36"/>
      <c r="C16" s="4"/>
      <c r="D16" s="4"/>
      <c r="E16" s="4"/>
      <c r="F16" s="16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</row>
    <row r="17" ht="12.0" customHeight="1">
      <c r="A17" s="36"/>
      <c r="B17" s="36"/>
      <c r="C17" s="171">
        <v>2021.0</v>
      </c>
      <c r="E17" s="171" t="s">
        <v>67</v>
      </c>
      <c r="G17" s="171" t="s">
        <v>68</v>
      </c>
      <c r="I17" s="171" t="s">
        <v>69</v>
      </c>
      <c r="K17" s="171" t="s">
        <v>70</v>
      </c>
      <c r="M17" s="171" t="s">
        <v>71</v>
      </c>
      <c r="O17" s="171">
        <v>2022.0</v>
      </c>
      <c r="Q17" s="171" t="s">
        <v>73</v>
      </c>
      <c r="S17" s="171" t="s">
        <v>74</v>
      </c>
      <c r="U17" s="171" t="s">
        <v>75</v>
      </c>
      <c r="W17" s="171" t="s">
        <v>76</v>
      </c>
      <c r="Y17" s="171" t="s">
        <v>77</v>
      </c>
      <c r="AA17" s="171" t="s">
        <v>78</v>
      </c>
      <c r="AC17" s="171">
        <v>2023.0</v>
      </c>
      <c r="AE17" s="171" t="s">
        <v>79</v>
      </c>
      <c r="AG17" s="172" t="s">
        <v>80</v>
      </c>
      <c r="AI17" s="172" t="s">
        <v>81</v>
      </c>
      <c r="AK17" s="172" t="s">
        <v>82</v>
      </c>
      <c r="AM17" s="172" t="s">
        <v>83</v>
      </c>
    </row>
    <row r="18" ht="12.0" customHeight="1">
      <c r="A18" s="36"/>
      <c r="B18" s="184" t="s">
        <v>196</v>
      </c>
      <c r="C18" s="14">
        <v>664858.0</v>
      </c>
      <c r="D18" s="174">
        <f t="shared" ref="D18:D21" si="21">C18/$C$22</f>
        <v>0.4603068445</v>
      </c>
      <c r="E18" s="14">
        <v>203940.0</v>
      </c>
      <c r="F18" s="169">
        <f t="shared" ref="F18:F21" si="22">E18/$E$22</f>
        <v>0.4146200638</v>
      </c>
      <c r="G18" s="175">
        <v>219304.0</v>
      </c>
      <c r="H18" s="176">
        <f t="shared" ref="H18:H21" si="23">G18/$G$22</f>
        <v>0.4177099702</v>
      </c>
      <c r="I18" s="175">
        <v>423244.0</v>
      </c>
      <c r="J18" s="176">
        <f t="shared" ref="J18:J21" si="24">I18/$I$22</f>
        <v>0.416215371</v>
      </c>
      <c r="K18" s="185">
        <v>232697.0</v>
      </c>
      <c r="L18" s="186">
        <f t="shared" ref="L18:L21" si="25">K18/$K$22</f>
        <v>0.4162602993</v>
      </c>
      <c r="M18" s="185">
        <v>655941.0</v>
      </c>
      <c r="N18" s="186">
        <f t="shared" ref="N18:N21" si="26">M18/$M$22</f>
        <v>0.4162313084</v>
      </c>
      <c r="O18" s="185">
        <v>923174.0</v>
      </c>
      <c r="P18" s="186">
        <f t="shared" ref="P18:P21" si="27">O18/$O$22</f>
        <v>0.4219818897</v>
      </c>
      <c r="Q18" s="177">
        <v>263386.0</v>
      </c>
      <c r="R18" s="186">
        <f t="shared" ref="R18:R21" si="28">Q18/Q$22</f>
        <v>0.4317866985</v>
      </c>
      <c r="S18" s="185">
        <v>256880.0</v>
      </c>
      <c r="T18" s="186">
        <f t="shared" ref="T18:T21" si="29">S18/$S$22</f>
        <v>0.4492228487</v>
      </c>
      <c r="U18" s="185">
        <v>539344.0</v>
      </c>
      <c r="V18" s="186">
        <f t="shared" ref="V18:V21" si="30">U18/$U$22</f>
        <v>0.4563657533</v>
      </c>
      <c r="W18" s="185">
        <v>222860.0</v>
      </c>
      <c r="X18" s="186">
        <f t="shared" ref="X18:X21" si="31">W18/$W$22</f>
        <v>0.421219355</v>
      </c>
      <c r="Y18" s="185">
        <v>762204.0</v>
      </c>
      <c r="Z18" s="186">
        <f t="shared" ref="Z18:Z21" si="32">Y18/$Y$22</f>
        <v>0.4454970375</v>
      </c>
      <c r="AA18" s="185">
        <v>215459.0</v>
      </c>
      <c r="AB18" s="186">
        <f t="shared" ref="AB18:AB21" si="33">AA18/$AA$22</f>
        <v>0.4123143754</v>
      </c>
      <c r="AC18" s="185">
        <f t="shared" ref="AC18:AC21" si="34">Y18+AA18</f>
        <v>977663</v>
      </c>
      <c r="AD18" s="186">
        <f t="shared" ref="AD18:AD21" si="35">AC18/$AC$22</f>
        <v>0.4377335496</v>
      </c>
      <c r="AE18" s="185">
        <v>217945.0</v>
      </c>
      <c r="AF18" s="186">
        <f t="shared" ref="AF18:AF21" si="36">AE18/$AE$22</f>
        <v>0.4163156698</v>
      </c>
      <c r="AG18" s="187">
        <v>251364.0</v>
      </c>
      <c r="AH18" s="186">
        <f t="shared" ref="AH18:AH21" si="37">AG18/$AG$22</f>
        <v>0.4443792296</v>
      </c>
      <c r="AI18" s="185">
        <f t="shared" ref="AI18:AI21" si="38">AE18+AG18</f>
        <v>469309</v>
      </c>
      <c r="AJ18" s="186">
        <f t="shared" ref="AJ18:AJ21" si="39">AI18/$AI$22</f>
        <v>0.4308903826</v>
      </c>
      <c r="AK18" s="187">
        <v>284910.0</v>
      </c>
      <c r="AL18" s="186">
        <f t="shared" ref="AL18:AL21" si="40">AK18/$AK$22</f>
        <v>0.4579368651</v>
      </c>
      <c r="AM18" s="187">
        <v>754219.0</v>
      </c>
      <c r="AN18" s="186">
        <f t="shared" ref="AN18:AN21" si="41">AM18/$AM$22</f>
        <v>0.4407232775</v>
      </c>
    </row>
    <row r="19" ht="12.0" customHeight="1">
      <c r="A19" s="36"/>
      <c r="B19" s="4" t="s">
        <v>197</v>
      </c>
      <c r="C19" s="14">
        <v>28148.0</v>
      </c>
      <c r="D19" s="174">
        <f t="shared" si="21"/>
        <v>0.01948794639</v>
      </c>
      <c r="E19" s="14">
        <v>37589.0</v>
      </c>
      <c r="F19" s="169">
        <f t="shared" si="22"/>
        <v>0.07642028821</v>
      </c>
      <c r="G19" s="175">
        <v>48160.0</v>
      </c>
      <c r="H19" s="176">
        <f t="shared" si="23"/>
        <v>0.09173071246</v>
      </c>
      <c r="I19" s="175">
        <v>85749.0</v>
      </c>
      <c r="J19" s="176">
        <f t="shared" si="24"/>
        <v>0.08432500366</v>
      </c>
      <c r="K19" s="185">
        <v>57061.0</v>
      </c>
      <c r="L19" s="186">
        <f t="shared" si="25"/>
        <v>0.1020736363</v>
      </c>
      <c r="M19" s="185">
        <v>142810.0</v>
      </c>
      <c r="N19" s="186">
        <f t="shared" si="26"/>
        <v>0.09062094479</v>
      </c>
      <c r="O19" s="185">
        <v>205992.0</v>
      </c>
      <c r="P19" s="186">
        <f t="shared" si="27"/>
        <v>0.09415873219</v>
      </c>
      <c r="Q19" s="177">
        <v>73726.0</v>
      </c>
      <c r="R19" s="186">
        <f t="shared" si="28"/>
        <v>0.1208640783</v>
      </c>
      <c r="S19" s="185">
        <v>58951.0</v>
      </c>
      <c r="T19" s="186">
        <f t="shared" si="29"/>
        <v>0.1030914674</v>
      </c>
      <c r="U19" s="185">
        <v>113600.0</v>
      </c>
      <c r="V19" s="186">
        <f t="shared" si="30"/>
        <v>0.0961226037</v>
      </c>
      <c r="W19" s="185">
        <v>54045.0</v>
      </c>
      <c r="X19" s="186">
        <f t="shared" si="31"/>
        <v>0.1021484342</v>
      </c>
      <c r="Y19" s="185">
        <v>167645.0</v>
      </c>
      <c r="Z19" s="186">
        <f t="shared" si="32"/>
        <v>0.09798603898</v>
      </c>
      <c r="AA19" s="185">
        <v>57053.0</v>
      </c>
      <c r="AB19" s="186">
        <f t="shared" si="33"/>
        <v>0.1091798071</v>
      </c>
      <c r="AC19" s="185">
        <f t="shared" si="34"/>
        <v>224698</v>
      </c>
      <c r="AD19" s="186">
        <f t="shared" si="35"/>
        <v>0.1006050685</v>
      </c>
      <c r="AE19" s="185">
        <v>61127.0</v>
      </c>
      <c r="AF19" s="186">
        <f t="shared" si="36"/>
        <v>0.1167639907</v>
      </c>
      <c r="AG19" s="187">
        <v>62376.0</v>
      </c>
      <c r="AH19" s="186">
        <f t="shared" si="37"/>
        <v>0.1102727472</v>
      </c>
      <c r="AI19" s="185">
        <f t="shared" si="38"/>
        <v>123503</v>
      </c>
      <c r="AJ19" s="186">
        <f t="shared" si="39"/>
        <v>0.1133927858</v>
      </c>
      <c r="AK19" s="187">
        <v>58444.0</v>
      </c>
      <c r="AL19" s="186">
        <f t="shared" si="40"/>
        <v>0.09393725087</v>
      </c>
      <c r="AM19" s="187">
        <v>181947.0</v>
      </c>
      <c r="AN19" s="186">
        <f t="shared" si="41"/>
        <v>0.1063196209</v>
      </c>
    </row>
    <row r="20" ht="12.0" customHeight="1">
      <c r="A20" s="36"/>
      <c r="B20" s="188" t="s">
        <v>198</v>
      </c>
      <c r="C20" s="14">
        <v>701206.0</v>
      </c>
      <c r="D20" s="174">
        <f t="shared" si="21"/>
        <v>0.4854719672</v>
      </c>
      <c r="E20" s="14">
        <v>234706.0</v>
      </c>
      <c r="F20" s="169">
        <f t="shared" si="22"/>
        <v>0.4771688569</v>
      </c>
      <c r="G20" s="175">
        <v>242574.0</v>
      </c>
      <c r="H20" s="176">
        <f t="shared" si="23"/>
        <v>0.4620325134</v>
      </c>
      <c r="I20" s="175">
        <v>477280.0</v>
      </c>
      <c r="J20" s="176">
        <f t="shared" si="24"/>
        <v>0.4693540187</v>
      </c>
      <c r="K20" s="185">
        <v>247200.0</v>
      </c>
      <c r="L20" s="186">
        <f t="shared" si="25"/>
        <v>0.4422040077</v>
      </c>
      <c r="M20" s="185">
        <v>724480.0</v>
      </c>
      <c r="N20" s="186">
        <f t="shared" si="26"/>
        <v>0.4597231432</v>
      </c>
      <c r="O20" s="185">
        <v>975948.0</v>
      </c>
      <c r="P20" s="186">
        <f t="shared" si="27"/>
        <v>0.4461048311</v>
      </c>
      <c r="Q20" s="177">
        <v>240616.0</v>
      </c>
      <c r="R20" s="186">
        <f t="shared" si="28"/>
        <v>0.3944582789</v>
      </c>
      <c r="S20" s="185">
        <v>228058.0</v>
      </c>
      <c r="T20" s="186">
        <f t="shared" si="29"/>
        <v>0.3988199331</v>
      </c>
      <c r="U20" s="185">
        <v>468674.0</v>
      </c>
      <c r="V20" s="186">
        <f t="shared" si="30"/>
        <v>0.3965683554</v>
      </c>
      <c r="W20" s="185">
        <v>229804.0</v>
      </c>
      <c r="X20" s="186">
        <f t="shared" si="31"/>
        <v>0.4343439498</v>
      </c>
      <c r="Y20" s="185">
        <v>698478.0</v>
      </c>
      <c r="Z20" s="186">
        <f t="shared" si="32"/>
        <v>0.408250127</v>
      </c>
      <c r="AA20" s="185">
        <v>226396.0</v>
      </c>
      <c r="AB20" s="186">
        <f t="shared" si="33"/>
        <v>0.4332440294</v>
      </c>
      <c r="AC20" s="185">
        <f t="shared" si="34"/>
        <v>924874</v>
      </c>
      <c r="AD20" s="186">
        <f t="shared" si="35"/>
        <v>0.4140980879</v>
      </c>
      <c r="AE20" s="185">
        <v>222682.0</v>
      </c>
      <c r="AF20" s="186">
        <f t="shared" si="36"/>
        <v>0.4253642249</v>
      </c>
      <c r="AG20" s="187">
        <v>226097.0</v>
      </c>
      <c r="AH20" s="186">
        <f t="shared" si="37"/>
        <v>0.3997104227</v>
      </c>
      <c r="AI20" s="185">
        <f t="shared" si="38"/>
        <v>448779</v>
      </c>
      <c r="AJ20" s="186">
        <f t="shared" si="39"/>
        <v>0.4120410114</v>
      </c>
      <c r="AK20" s="187">
        <v>251396.0</v>
      </c>
      <c r="AL20" s="186">
        <f t="shared" si="40"/>
        <v>0.4040696927</v>
      </c>
      <c r="AM20" s="187">
        <v>700175.0</v>
      </c>
      <c r="AN20" s="186">
        <f t="shared" si="41"/>
        <v>0.4091429954</v>
      </c>
    </row>
    <row r="21" ht="12.0" customHeight="1">
      <c r="A21" s="36"/>
      <c r="B21" s="98" t="s">
        <v>199</v>
      </c>
      <c r="C21" s="14">
        <v>50168.0</v>
      </c>
      <c r="D21" s="174">
        <f t="shared" si="21"/>
        <v>0.03473324194</v>
      </c>
      <c r="E21" s="14">
        <v>15637.0</v>
      </c>
      <c r="F21" s="169">
        <f t="shared" si="22"/>
        <v>0.0317907911</v>
      </c>
      <c r="G21" s="175">
        <v>14977.0</v>
      </c>
      <c r="H21" s="176">
        <f t="shared" si="23"/>
        <v>0.028526804</v>
      </c>
      <c r="I21" s="175">
        <v>30614.0</v>
      </c>
      <c r="J21" s="176">
        <f t="shared" si="24"/>
        <v>0.03010560662</v>
      </c>
      <c r="K21" s="185">
        <v>22060.0</v>
      </c>
      <c r="L21" s="186">
        <f t="shared" si="25"/>
        <v>0.03946205668</v>
      </c>
      <c r="M21" s="185">
        <v>52674.0</v>
      </c>
      <c r="N21" s="186">
        <f t="shared" si="26"/>
        <v>0.03342460364</v>
      </c>
      <c r="O21" s="185">
        <v>82596.0</v>
      </c>
      <c r="P21" s="186">
        <f t="shared" si="27"/>
        <v>0.03775454699</v>
      </c>
      <c r="Q21" s="189">
        <v>32263.0</v>
      </c>
      <c r="R21" s="186">
        <f t="shared" si="28"/>
        <v>0.05289094429</v>
      </c>
      <c r="S21" s="185">
        <v>27943.0</v>
      </c>
      <c r="T21" s="186">
        <f t="shared" si="29"/>
        <v>0.04886575078</v>
      </c>
      <c r="U21" s="185">
        <v>60206.0</v>
      </c>
      <c r="V21" s="186">
        <f t="shared" si="30"/>
        <v>0.05094328766</v>
      </c>
      <c r="W21" s="185">
        <v>22374.0</v>
      </c>
      <c r="X21" s="186">
        <f t="shared" si="31"/>
        <v>0.04228826101</v>
      </c>
      <c r="Y21" s="185">
        <v>82580.0</v>
      </c>
      <c r="Z21" s="186">
        <f t="shared" si="32"/>
        <v>0.0482667965</v>
      </c>
      <c r="AA21" s="185">
        <v>23651.0</v>
      </c>
      <c r="AB21" s="186">
        <f t="shared" si="33"/>
        <v>0.04525987446</v>
      </c>
      <c r="AC21" s="185">
        <f t="shared" si="34"/>
        <v>106231</v>
      </c>
      <c r="AD21" s="186">
        <f t="shared" si="35"/>
        <v>0.047563294</v>
      </c>
      <c r="AE21" s="185">
        <v>21755.0</v>
      </c>
      <c r="AF21" s="186">
        <f t="shared" si="36"/>
        <v>0.0415561146</v>
      </c>
      <c r="AG21" s="187">
        <v>25815.0</v>
      </c>
      <c r="AH21" s="186">
        <f t="shared" si="37"/>
        <v>0.0456376005</v>
      </c>
      <c r="AI21" s="185">
        <f t="shared" si="38"/>
        <v>47570</v>
      </c>
      <c r="AJ21" s="186">
        <f t="shared" si="39"/>
        <v>0.0436758202</v>
      </c>
      <c r="AK21" s="187">
        <v>27410.0</v>
      </c>
      <c r="AL21" s="186">
        <f t="shared" si="40"/>
        <v>0.04405619133</v>
      </c>
      <c r="AM21" s="187">
        <v>74980.0</v>
      </c>
      <c r="AN21" s="186">
        <f t="shared" si="41"/>
        <v>0.04381410618</v>
      </c>
    </row>
    <row r="22" ht="12.0" customHeight="1">
      <c r="A22" s="36"/>
      <c r="B22" s="190" t="s">
        <v>194</v>
      </c>
      <c r="C22" s="191">
        <f>SUM(C18:C21)</f>
        <v>1444380</v>
      </c>
      <c r="D22" s="192"/>
      <c r="E22" s="191">
        <f>SUM(E18:E21)</f>
        <v>491872</v>
      </c>
      <c r="F22" s="192"/>
      <c r="G22" s="191">
        <f>SUM(G18:G21)</f>
        <v>525015</v>
      </c>
      <c r="H22" s="191"/>
      <c r="I22" s="191">
        <f>SUM(I18:I21)</f>
        <v>1016887</v>
      </c>
      <c r="J22" s="191"/>
      <c r="K22" s="191">
        <f>SUM(K18:K21)</f>
        <v>559018</v>
      </c>
      <c r="L22" s="191"/>
      <c r="M22" s="191">
        <f>SUM(M18:M21)</f>
        <v>1575905</v>
      </c>
      <c r="N22" s="191"/>
      <c r="O22" s="191">
        <f>SUM(O18:O21)</f>
        <v>2187710</v>
      </c>
      <c r="P22" s="192"/>
      <c r="Q22" s="191">
        <f>SUM(Q18:Q21)</f>
        <v>609991</v>
      </c>
      <c r="R22" s="192"/>
      <c r="S22" s="191">
        <f>SUM(S18:S21)</f>
        <v>571832</v>
      </c>
      <c r="T22" s="192"/>
      <c r="U22" s="191">
        <f>SUM(U18:U21)</f>
        <v>1181824</v>
      </c>
      <c r="V22" s="192"/>
      <c r="W22" s="191">
        <f>SUM(W18:W21)</f>
        <v>529083</v>
      </c>
      <c r="X22" s="192"/>
      <c r="Y22" s="191">
        <f>SUM(Y18:Y21)</f>
        <v>1710907</v>
      </c>
      <c r="Z22" s="192"/>
      <c r="AA22" s="191">
        <f>SUM(AA18:AA21)+1</f>
        <v>522560</v>
      </c>
      <c r="AB22" s="192"/>
      <c r="AC22" s="191">
        <f>SUM(AC18:AC21)</f>
        <v>2233466</v>
      </c>
      <c r="AD22" s="192"/>
      <c r="AE22" s="191">
        <f>SUM(AE18:AE21)</f>
        <v>523509</v>
      </c>
      <c r="AF22" s="192"/>
      <c r="AG22" s="191">
        <f>SUM(AG18:AG21)</f>
        <v>565652</v>
      </c>
      <c r="AH22" s="192"/>
      <c r="AI22" s="191">
        <f>SUM(AI18:AI21)</f>
        <v>1089161</v>
      </c>
      <c r="AJ22" s="192"/>
      <c r="AK22" s="191">
        <f>SUM(AK18:AK21)</f>
        <v>622160</v>
      </c>
      <c r="AL22" s="191"/>
      <c r="AM22" s="191">
        <f>SUM(AM18:AM21)</f>
        <v>1711321</v>
      </c>
      <c r="AN22" s="192"/>
    </row>
    <row r="23" ht="12.0" customHeight="1">
      <c r="A23" s="36"/>
      <c r="B23" s="3"/>
      <c r="C23" s="4"/>
      <c r="D23" s="4"/>
      <c r="E23" s="4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</row>
    <row r="24" ht="12.0" customHeight="1">
      <c r="A24" s="36"/>
      <c r="B24" s="31" t="s">
        <v>200</v>
      </c>
      <c r="C24" s="4"/>
      <c r="D24" s="4"/>
      <c r="E24" s="4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</row>
    <row r="25" ht="12.0" customHeight="1">
      <c r="A25" s="36"/>
      <c r="B25" s="31"/>
      <c r="C25" s="4"/>
      <c r="D25" s="4"/>
      <c r="E25" s="4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</row>
    <row r="26" ht="12.0" customHeight="1">
      <c r="A26" s="36"/>
      <c r="B26" s="98"/>
      <c r="C26" s="171">
        <v>2021.0</v>
      </c>
      <c r="E26" s="171" t="s">
        <v>67</v>
      </c>
      <c r="G26" s="171" t="s">
        <v>68</v>
      </c>
      <c r="I26" s="171" t="s">
        <v>69</v>
      </c>
      <c r="K26" s="171" t="s">
        <v>70</v>
      </c>
      <c r="M26" s="171" t="s">
        <v>71</v>
      </c>
      <c r="O26" s="171">
        <v>2022.0</v>
      </c>
      <c r="Q26" s="171" t="s">
        <v>73</v>
      </c>
      <c r="S26" s="171" t="s">
        <v>74</v>
      </c>
      <c r="U26" s="171" t="s">
        <v>75</v>
      </c>
      <c r="W26" s="171" t="s">
        <v>76</v>
      </c>
      <c r="Y26" s="171" t="s">
        <v>77</v>
      </c>
      <c r="AA26" s="171" t="s">
        <v>78</v>
      </c>
      <c r="AC26" s="171">
        <v>2023.0</v>
      </c>
      <c r="AE26" s="171" t="s">
        <v>79</v>
      </c>
      <c r="AG26" s="172" t="s">
        <v>80</v>
      </c>
      <c r="AI26" s="172" t="s">
        <v>81</v>
      </c>
      <c r="AK26" s="172" t="s">
        <v>82</v>
      </c>
      <c r="AM26" s="172" t="s">
        <v>83</v>
      </c>
    </row>
    <row r="27" ht="12.0" customHeight="1">
      <c r="A27" s="36"/>
      <c r="B27" s="98" t="s">
        <v>201</v>
      </c>
      <c r="C27" s="193">
        <v>283311.0</v>
      </c>
      <c r="D27" s="174">
        <v>0.19614713579528933</v>
      </c>
      <c r="E27" s="193">
        <v>75831.0</v>
      </c>
      <c r="F27" s="194">
        <f t="shared" ref="F27:F28" si="42">E27/$E$22</f>
        <v>0.1541681576</v>
      </c>
      <c r="G27" s="195">
        <v>86777.0</v>
      </c>
      <c r="H27" s="196">
        <v>0.165</v>
      </c>
      <c r="I27" s="195">
        <v>162608.0</v>
      </c>
      <c r="J27" s="196">
        <v>0.16</v>
      </c>
      <c r="K27" s="195">
        <v>86748.0</v>
      </c>
      <c r="L27" s="196">
        <v>0.155</v>
      </c>
      <c r="M27" s="195">
        <v>249356.0</v>
      </c>
      <c r="N27" s="196">
        <v>0.158</v>
      </c>
      <c r="O27" s="195">
        <v>325505.0</v>
      </c>
      <c r="P27" s="194">
        <v>0.14878800206608736</v>
      </c>
      <c r="Q27" s="195">
        <v>67425.0</v>
      </c>
      <c r="R27" s="196">
        <v>0.111</v>
      </c>
      <c r="S27" s="178">
        <v>61736.0</v>
      </c>
      <c r="T27" s="174">
        <v>0.108</v>
      </c>
      <c r="U27" s="178">
        <v>129370.0</v>
      </c>
      <c r="V27" s="174">
        <v>0.109</v>
      </c>
      <c r="W27" s="178">
        <v>37428.0</v>
      </c>
      <c r="X27" s="174">
        <v>0.071</v>
      </c>
      <c r="Y27" s="178">
        <v>166798.0</v>
      </c>
      <c r="Z27" s="174">
        <v>0.097</v>
      </c>
      <c r="AA27" s="178">
        <v>33118.0</v>
      </c>
      <c r="AB27" s="174">
        <f t="shared" ref="AB27:AB28" si="43">AA27/$AA$22</f>
        <v>0.06337645438</v>
      </c>
      <c r="AC27" s="178">
        <v>185317.0</v>
      </c>
      <c r="AD27" s="174">
        <f t="shared" ref="AD27:AD28" si="44">AC27/$AC$22</f>
        <v>0.08297283236</v>
      </c>
      <c r="AE27" s="178">
        <v>33839.0</v>
      </c>
      <c r="AF27" s="174">
        <f t="shared" ref="AF27:AF28" si="45">AE27/$AE$22</f>
        <v>0.06463881232</v>
      </c>
      <c r="AG27" s="170">
        <v>35743.0</v>
      </c>
      <c r="AH27" s="174">
        <f t="shared" ref="AH27:AH28" si="46">AG27/$AG$22</f>
        <v>0.06318902788</v>
      </c>
      <c r="AI27" s="178">
        <f>AE27+AG27</f>
        <v>69582</v>
      </c>
      <c r="AJ27" s="174">
        <f t="shared" ref="AJ27:AJ28" si="47">AI27/$AI$22</f>
        <v>0.06388587179</v>
      </c>
      <c r="AK27" s="170">
        <v>48337.0</v>
      </c>
      <c r="AL27" s="174">
        <f t="shared" ref="AL27:AL28" si="48">AK27/$AK$22</f>
        <v>0.07769223351</v>
      </c>
      <c r="AM27" s="170">
        <v>117919.0</v>
      </c>
      <c r="AN27" s="174">
        <f t="shared" ref="AN27:AN28" si="49">AM27/$AM$22</f>
        <v>0.06890524922</v>
      </c>
    </row>
    <row r="28" ht="12.0" customHeight="1">
      <c r="A28" s="36"/>
      <c r="B28" s="98" t="s">
        <v>202</v>
      </c>
      <c r="C28" s="193">
        <v>913890.0</v>
      </c>
      <c r="D28" s="174">
        <v>0.6327213060274997</v>
      </c>
      <c r="E28" s="193">
        <v>253427.0</v>
      </c>
      <c r="F28" s="194">
        <f t="shared" si="42"/>
        <v>0.5152295719</v>
      </c>
      <c r="G28" s="195">
        <v>275596.0</v>
      </c>
      <c r="H28" s="196">
        <v>0.525</v>
      </c>
      <c r="I28" s="195">
        <v>528927.0</v>
      </c>
      <c r="J28" s="196">
        <v>0.52</v>
      </c>
      <c r="K28" s="195">
        <v>283999.0</v>
      </c>
      <c r="L28" s="196">
        <v>0.508</v>
      </c>
      <c r="M28" s="195">
        <v>812754.0</v>
      </c>
      <c r="N28" s="196">
        <v>0.516</v>
      </c>
      <c r="O28" s="195">
        <v>1079941.0</v>
      </c>
      <c r="P28" s="194">
        <v>0.4936399248529284</v>
      </c>
      <c r="Q28" s="195">
        <v>270461.0</v>
      </c>
      <c r="R28" s="196">
        <v>0.443</v>
      </c>
      <c r="S28" s="178">
        <v>243714.0</v>
      </c>
      <c r="T28" s="174">
        <v>0.426</v>
      </c>
      <c r="U28" s="178">
        <v>504416.0</v>
      </c>
      <c r="V28" s="174">
        <v>0.427</v>
      </c>
      <c r="W28" s="178">
        <v>208305.0</v>
      </c>
      <c r="X28" s="174">
        <v>0.394</v>
      </c>
      <c r="Y28" s="178">
        <v>705773.0</v>
      </c>
      <c r="Z28" s="174">
        <v>0.413</v>
      </c>
      <c r="AA28" s="178">
        <v>199329.0</v>
      </c>
      <c r="AB28" s="174">
        <f t="shared" si="43"/>
        <v>0.3814471066</v>
      </c>
      <c r="AC28" s="178">
        <v>887282.0</v>
      </c>
      <c r="AD28" s="174">
        <f t="shared" si="44"/>
        <v>0.3972668489</v>
      </c>
      <c r="AE28" s="178">
        <v>215116.0</v>
      </c>
      <c r="AF28" s="174">
        <f t="shared" si="45"/>
        <v>0.4109117513</v>
      </c>
      <c r="AG28" s="170">
        <v>237074.0</v>
      </c>
      <c r="AH28" s="174">
        <f t="shared" si="46"/>
        <v>0.4191163472</v>
      </c>
      <c r="AI28" s="170">
        <v>450583.0</v>
      </c>
      <c r="AJ28" s="174">
        <f t="shared" si="47"/>
        <v>0.4136973322</v>
      </c>
      <c r="AK28" s="170">
        <v>260984.0</v>
      </c>
      <c r="AL28" s="174">
        <f t="shared" si="48"/>
        <v>0.4194805195</v>
      </c>
      <c r="AM28" s="170">
        <v>706077.0</v>
      </c>
      <c r="AN28" s="174">
        <f t="shared" si="49"/>
        <v>0.4125917931</v>
      </c>
    </row>
  </sheetData>
  <mergeCells count="57">
    <mergeCell ref="AE26:AF26"/>
    <mergeCell ref="AG26:AH26"/>
    <mergeCell ref="Q26:R26"/>
    <mergeCell ref="S26:T26"/>
    <mergeCell ref="U26:V26"/>
    <mergeCell ref="W26:X26"/>
    <mergeCell ref="Y26:Z26"/>
    <mergeCell ref="AA26:AB26"/>
    <mergeCell ref="AC26:AD26"/>
    <mergeCell ref="AE5:AF5"/>
    <mergeCell ref="AG5:AH5"/>
    <mergeCell ref="AI5:AJ5"/>
    <mergeCell ref="AK5:AL5"/>
    <mergeCell ref="AM5:AN5"/>
    <mergeCell ref="Q5:R5"/>
    <mergeCell ref="S5:T5"/>
    <mergeCell ref="U5:V5"/>
    <mergeCell ref="W5:X5"/>
    <mergeCell ref="Y5:Z5"/>
    <mergeCell ref="AA5:AB5"/>
    <mergeCell ref="AC5:AD5"/>
    <mergeCell ref="C5:D5"/>
    <mergeCell ref="E5:F5"/>
    <mergeCell ref="G5:H5"/>
    <mergeCell ref="I5:J5"/>
    <mergeCell ref="K5:L5"/>
    <mergeCell ref="M5:N5"/>
    <mergeCell ref="O5:P5"/>
    <mergeCell ref="AE17:AF17"/>
    <mergeCell ref="AG17:AH17"/>
    <mergeCell ref="AI17:AJ17"/>
    <mergeCell ref="AK17:AL17"/>
    <mergeCell ref="AM17:AN17"/>
    <mergeCell ref="Q17:R17"/>
    <mergeCell ref="S17:T17"/>
    <mergeCell ref="U17:V17"/>
    <mergeCell ref="W17:X17"/>
    <mergeCell ref="Y17:Z17"/>
    <mergeCell ref="AA17:AB17"/>
    <mergeCell ref="AC17:AD17"/>
    <mergeCell ref="C17:D17"/>
    <mergeCell ref="E17:F17"/>
    <mergeCell ref="G17:H17"/>
    <mergeCell ref="I17:J17"/>
    <mergeCell ref="K17:L17"/>
    <mergeCell ref="M17:N17"/>
    <mergeCell ref="O17:P17"/>
    <mergeCell ref="AI26:AJ26"/>
    <mergeCell ref="AK26:AL26"/>
    <mergeCell ref="AM26:AN26"/>
    <mergeCell ref="C26:D26"/>
    <mergeCell ref="E26:F26"/>
    <mergeCell ref="G26:H26"/>
    <mergeCell ref="I26:J26"/>
    <mergeCell ref="K26:L26"/>
    <mergeCell ref="M26:N26"/>
    <mergeCell ref="O26:P26"/>
  </mergeCells>
  <conditionalFormatting sqref="A1:AN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8.75"/>
    <col customWidth="1" min="4" max="4" width="7.0"/>
    <col customWidth="1" min="5" max="5" width="8.75"/>
    <col customWidth="1" min="6" max="6" width="7.0"/>
    <col customWidth="1" min="7" max="7" width="8.75"/>
    <col customWidth="1" min="8" max="8" width="7.0"/>
    <col customWidth="1" min="9" max="9" width="8.75"/>
    <col customWidth="1" min="10" max="10" width="7.0"/>
    <col customWidth="1" min="11" max="11" width="8.75"/>
    <col customWidth="1" min="12" max="12" width="7.0"/>
    <col customWidth="1" min="13" max="13" width="8.75"/>
    <col customWidth="1" min="14" max="14" width="7.0"/>
    <col customWidth="1" min="15" max="15" width="8.75"/>
    <col customWidth="1" min="16" max="16" width="7.0"/>
    <col customWidth="1" min="17" max="17" width="8.75"/>
    <col customWidth="1" min="18" max="18" width="7.0"/>
    <col customWidth="1" min="19" max="19" width="8.75"/>
    <col customWidth="1" min="20" max="20" width="7.0"/>
    <col customWidth="1" min="21" max="21" width="8.75"/>
    <col customWidth="1" min="22" max="22" width="7.0"/>
    <col customWidth="1" min="23" max="23" width="8.75"/>
    <col customWidth="1" min="24" max="24" width="7.0"/>
    <col customWidth="1" min="25" max="25" width="8.75"/>
    <col customWidth="1" min="26" max="26" width="7.0"/>
    <col customWidth="1" min="27" max="27" width="10.25"/>
    <col customWidth="1" min="28" max="28" width="7.0"/>
    <col customWidth="1" min="29" max="29" width="8.75"/>
    <col customWidth="1" min="30" max="30" width="7.0"/>
    <col customWidth="1" min="31" max="31" width="8.75"/>
    <col customWidth="1" min="32" max="32" width="7.0"/>
    <col customWidth="1" min="33" max="33" width="10.25"/>
    <col customWidth="1" min="34" max="34" width="7.0"/>
    <col customWidth="1" min="35" max="35" width="8.75"/>
    <col customWidth="1" min="36" max="36" width="7.0"/>
    <col customWidth="1" min="37" max="37" width="10.25"/>
    <col customWidth="1" min="38" max="38" width="7.0"/>
    <col customWidth="1" min="39" max="39" width="8.75"/>
    <col customWidth="1" min="40" max="40" width="7.0"/>
    <col customWidth="1" min="41" max="41" width="10.25"/>
    <col customWidth="1" min="42" max="42" width="7.0"/>
  </cols>
  <sheetData>
    <row r="1" ht="12.0" customHeight="1">
      <c r="A1" s="1" t="s">
        <v>203</v>
      </c>
      <c r="B1" s="2"/>
      <c r="C1" s="2"/>
      <c r="D1" s="167"/>
      <c r="E1" s="2"/>
      <c r="F1" s="167"/>
      <c r="G1" s="2"/>
      <c r="H1" s="167"/>
      <c r="I1" s="2"/>
      <c r="J1" s="167"/>
      <c r="K1" s="2"/>
      <c r="L1" s="167"/>
      <c r="M1" s="2"/>
      <c r="N1" s="167"/>
      <c r="O1" s="2"/>
      <c r="P1" s="167"/>
      <c r="Q1" s="2"/>
      <c r="R1" s="167"/>
      <c r="S1" s="2"/>
      <c r="T1" s="167"/>
      <c r="U1" s="2"/>
      <c r="V1" s="167"/>
      <c r="W1" s="2"/>
      <c r="X1" s="167"/>
      <c r="Y1" s="2"/>
      <c r="Z1" s="167"/>
      <c r="AA1" s="197"/>
      <c r="AB1" s="198"/>
      <c r="AC1" s="2"/>
      <c r="AD1" s="167"/>
      <c r="AE1" s="2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</row>
    <row r="2" ht="12.0" customHeight="1">
      <c r="A2" s="3" t="s">
        <v>1</v>
      </c>
      <c r="B2" s="3"/>
      <c r="C2" s="4"/>
      <c r="D2" s="169"/>
      <c r="E2" s="4"/>
      <c r="F2" s="169"/>
      <c r="G2" s="4"/>
      <c r="H2" s="169"/>
      <c r="I2" s="4"/>
      <c r="J2" s="169"/>
      <c r="K2" s="4"/>
      <c r="L2" s="169"/>
      <c r="M2" s="4"/>
      <c r="N2" s="169"/>
      <c r="O2" s="4"/>
      <c r="P2" s="169"/>
      <c r="Q2" s="4"/>
      <c r="R2" s="169"/>
      <c r="S2" s="4"/>
      <c r="T2" s="169"/>
      <c r="U2" s="4"/>
      <c r="V2" s="169"/>
      <c r="W2" s="4"/>
      <c r="X2" s="169"/>
      <c r="Y2" s="4"/>
      <c r="Z2" s="169"/>
      <c r="AA2" s="139"/>
      <c r="AB2" s="199"/>
      <c r="AC2" s="4"/>
      <c r="AD2" s="169"/>
      <c r="AE2" s="4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ht="12.0" customHeight="1">
      <c r="A3" s="3"/>
      <c r="B3" s="31"/>
      <c r="C3" s="4"/>
      <c r="D3" s="169"/>
      <c r="E3" s="4"/>
      <c r="F3" s="169"/>
      <c r="G3" s="4"/>
      <c r="H3" s="169"/>
      <c r="I3" s="4"/>
      <c r="J3" s="169"/>
      <c r="K3" s="4"/>
      <c r="L3" s="169"/>
      <c r="M3" s="4"/>
      <c r="N3" s="169"/>
      <c r="O3" s="4"/>
      <c r="P3" s="169"/>
      <c r="Q3" s="4"/>
      <c r="R3" s="169"/>
      <c r="S3" s="4"/>
      <c r="T3" s="169"/>
      <c r="U3" s="4"/>
      <c r="V3" s="169"/>
      <c r="W3" s="4"/>
      <c r="X3" s="169"/>
      <c r="Y3" s="4"/>
      <c r="Z3" s="169"/>
      <c r="AA3" s="139"/>
      <c r="AB3" s="199"/>
      <c r="AC3" s="4"/>
      <c r="AD3" s="169"/>
      <c r="AE3" s="4"/>
      <c r="AF3" s="169"/>
      <c r="AG3" s="169"/>
      <c r="AH3" s="169"/>
      <c r="AI3" s="169"/>
      <c r="AJ3" s="169"/>
      <c r="AK3" s="169"/>
      <c r="AL3" s="169"/>
      <c r="AM3" s="177"/>
      <c r="AN3" s="169"/>
      <c r="AO3" s="169"/>
      <c r="AP3" s="169"/>
    </row>
    <row r="4" ht="12.0" customHeight="1">
      <c r="A4" s="3"/>
      <c r="B4" s="31" t="s">
        <v>188</v>
      </c>
      <c r="C4" s="4"/>
      <c r="D4" s="169"/>
      <c r="E4" s="4"/>
      <c r="F4" s="169"/>
      <c r="G4" s="4"/>
      <c r="H4" s="169"/>
      <c r="I4" s="4"/>
      <c r="J4" s="169"/>
      <c r="K4" s="4"/>
      <c r="L4" s="169"/>
      <c r="M4" s="4"/>
      <c r="N4" s="169"/>
      <c r="O4" s="4"/>
      <c r="P4" s="169"/>
      <c r="Q4" s="4"/>
      <c r="R4" s="169"/>
      <c r="S4" s="4"/>
      <c r="T4" s="169"/>
      <c r="U4" s="4"/>
      <c r="V4" s="169"/>
      <c r="W4" s="4"/>
      <c r="X4" s="169"/>
      <c r="Y4" s="4"/>
      <c r="Z4" s="169"/>
      <c r="AA4" s="139"/>
      <c r="AB4" s="199"/>
      <c r="AC4" s="4"/>
      <c r="AD4" s="169"/>
      <c r="AE4" s="4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</row>
    <row r="5">
      <c r="A5" s="36"/>
      <c r="B5" s="98"/>
      <c r="C5" s="171">
        <v>2019.0</v>
      </c>
      <c r="E5" s="171" t="s">
        <v>57</v>
      </c>
      <c r="G5" s="171" t="s">
        <v>204</v>
      </c>
      <c r="I5" s="171" t="s">
        <v>205</v>
      </c>
      <c r="K5" s="171" t="s">
        <v>206</v>
      </c>
      <c r="M5" s="171">
        <v>2020.0</v>
      </c>
      <c r="O5" s="171" t="s">
        <v>61</v>
      </c>
      <c r="Q5" s="171" t="s">
        <v>62</v>
      </c>
      <c r="S5" s="171" t="s">
        <v>207</v>
      </c>
      <c r="U5" s="171" t="s">
        <v>208</v>
      </c>
      <c r="W5" s="171" t="s">
        <v>209</v>
      </c>
      <c r="Y5" s="171" t="s">
        <v>210</v>
      </c>
      <c r="AA5" s="200">
        <v>2021.0</v>
      </c>
      <c r="AC5" s="171" t="s">
        <v>67</v>
      </c>
      <c r="AE5" s="171" t="s">
        <v>68</v>
      </c>
      <c r="AG5" s="171" t="s">
        <v>69</v>
      </c>
      <c r="AI5" s="171" t="s">
        <v>70</v>
      </c>
      <c r="AK5" s="171" t="s">
        <v>71</v>
      </c>
      <c r="AM5" s="171" t="s">
        <v>72</v>
      </c>
      <c r="AO5" s="171">
        <v>2022.0</v>
      </c>
    </row>
    <row r="6" ht="12.0" customHeight="1">
      <c r="A6" s="36"/>
      <c r="B6" s="98" t="s">
        <v>189</v>
      </c>
      <c r="C6" s="173">
        <v>231813.0</v>
      </c>
      <c r="D6" s="174">
        <f t="shared" ref="D6:D14" si="1">C6/$C$14</f>
        <v>0.3423448569</v>
      </c>
      <c r="E6" s="173">
        <v>144860.0</v>
      </c>
      <c r="F6" s="174">
        <f t="shared" ref="F6:F14" si="2">E6/$E$14</f>
        <v>0.3231649913</v>
      </c>
      <c r="G6" s="173">
        <v>85541.0</v>
      </c>
      <c r="H6" s="174">
        <f t="shared" ref="H6:H13" si="3">G6/$G$14</f>
        <v>0.3521698498</v>
      </c>
      <c r="I6" s="173">
        <v>230400.0</v>
      </c>
      <c r="J6" s="174">
        <f t="shared" ref="J6:J13" si="4">I6/$I$14</f>
        <v>0.3333564831</v>
      </c>
      <c r="K6" s="173">
        <v>93717.0</v>
      </c>
      <c r="L6" s="174">
        <f t="shared" ref="L6:L13" si="5">K6/$K$14</f>
        <v>0.3531599634</v>
      </c>
      <c r="M6" s="173">
        <v>324118.0</v>
      </c>
      <c r="N6" s="174">
        <f t="shared" ref="N6:N14" si="6">M6/$M$14</f>
        <v>0.3388516067</v>
      </c>
      <c r="O6" s="173">
        <v>98821.0</v>
      </c>
      <c r="P6" s="174">
        <f t="shared" ref="P6:P13" si="7">O6/$O$14</f>
        <v>0.3335257111</v>
      </c>
      <c r="Q6" s="173">
        <v>111268.0</v>
      </c>
      <c r="R6" s="174">
        <f t="shared" ref="R6:R14" si="8">Q6/$Q$14</f>
        <v>0.3528687953</v>
      </c>
      <c r="S6" s="201">
        <v>210089.0</v>
      </c>
      <c r="T6" s="123">
        <f t="shared" ref="T6:T13" si="9">S6/$S$14</f>
        <v>0.343498208</v>
      </c>
      <c r="U6" s="201">
        <v>134984.0</v>
      </c>
      <c r="V6" s="123">
        <f t="shared" ref="V6:V13" si="10">U6/$U$14</f>
        <v>0.3590286459</v>
      </c>
      <c r="W6" s="201">
        <v>345073.0</v>
      </c>
      <c r="X6" s="123">
        <f t="shared" ref="X6:X13" si="11">W6/$W$14</f>
        <v>0.349410583</v>
      </c>
      <c r="Y6" s="201">
        <v>142104.0</v>
      </c>
      <c r="Z6" s="123">
        <f t="shared" ref="Z6:Z13" si="12">Y6/$Y$14</f>
        <v>0.3110899005</v>
      </c>
      <c r="AA6" s="202">
        <v>487177.0</v>
      </c>
      <c r="AB6" s="203">
        <f t="shared" ref="AB6:AB13" si="13">AA6/$AA$14</f>
        <v>0.337291433</v>
      </c>
      <c r="AC6" s="173">
        <v>153598.4</v>
      </c>
      <c r="AD6" s="174">
        <f t="shared" ref="AD6:AD13" si="14">AC6/$AC$14</f>
        <v>0.3122732641</v>
      </c>
      <c r="AE6" s="173">
        <v>161466.0</v>
      </c>
      <c r="AF6" s="174">
        <f t="shared" ref="AF6:AF13" si="15">AE6/$AE$14</f>
        <v>0.3075454987</v>
      </c>
      <c r="AG6" s="178">
        <v>315064.0</v>
      </c>
      <c r="AH6" s="174">
        <f t="shared" ref="AH6:AH13" si="16">AG6/$AG$14</f>
        <v>0.3098318692</v>
      </c>
      <c r="AI6" s="178">
        <v>161185.0</v>
      </c>
      <c r="AJ6" s="174">
        <f t="shared" ref="AJ6:AJ13" si="17">AI6/$AI$14</f>
        <v>0.2883359749</v>
      </c>
      <c r="AK6" s="178">
        <v>476250.0</v>
      </c>
      <c r="AL6" s="174">
        <f t="shared" ref="AL6:AL13" si="18">AK6/$AK$14</f>
        <v>0.3022073031</v>
      </c>
      <c r="AM6" s="177">
        <v>172916.4</v>
      </c>
      <c r="AN6" s="174">
        <f t="shared" ref="AN6:AN13" si="19">AM6/$AI$14</f>
        <v>0.3093217034</v>
      </c>
      <c r="AO6" s="177">
        <f t="shared" ref="AO6:AO7" si="20">AM6+AK6</f>
        <v>649166.4</v>
      </c>
      <c r="AP6" s="174">
        <f t="shared" ref="AP6:AP13" si="21">AO6/$AK$14</f>
        <v>0.4119324452</v>
      </c>
    </row>
    <row r="7" ht="12.0" customHeight="1">
      <c r="A7" s="36"/>
      <c r="B7" s="98" t="s">
        <v>211</v>
      </c>
      <c r="C7" s="173">
        <v>116911.0</v>
      </c>
      <c r="D7" s="174">
        <f t="shared" si="1"/>
        <v>0.1726558889</v>
      </c>
      <c r="E7" s="173">
        <v>109430.0</v>
      </c>
      <c r="F7" s="174">
        <f t="shared" si="2"/>
        <v>0.2441249827</v>
      </c>
      <c r="G7" s="173">
        <v>66366.0</v>
      </c>
      <c r="H7" s="174">
        <f t="shared" si="3"/>
        <v>0.2732269233</v>
      </c>
      <c r="I7" s="173">
        <v>175796.0</v>
      </c>
      <c r="J7" s="174">
        <f t="shared" si="4"/>
        <v>0.2543521541</v>
      </c>
      <c r="K7" s="173">
        <v>68795.0</v>
      </c>
      <c r="L7" s="174">
        <f t="shared" si="5"/>
        <v>0.2592447441</v>
      </c>
      <c r="M7" s="173">
        <v>244590.0</v>
      </c>
      <c r="N7" s="174">
        <f t="shared" si="6"/>
        <v>0.2557084595</v>
      </c>
      <c r="O7" s="173">
        <v>84056.0</v>
      </c>
      <c r="P7" s="174">
        <f t="shared" si="7"/>
        <v>0.2836931136</v>
      </c>
      <c r="Q7" s="173">
        <v>88112.0</v>
      </c>
      <c r="R7" s="174">
        <f t="shared" si="8"/>
        <v>0.2794332179</v>
      </c>
      <c r="S7" s="201">
        <v>172169.0</v>
      </c>
      <c r="T7" s="123">
        <f t="shared" si="9"/>
        <v>0.2814985219</v>
      </c>
      <c r="U7" s="201">
        <v>78258.0</v>
      </c>
      <c r="V7" s="123">
        <f t="shared" si="10"/>
        <v>0.2081495864</v>
      </c>
      <c r="W7" s="201">
        <v>250426.0</v>
      </c>
      <c r="X7" s="123">
        <f t="shared" si="11"/>
        <v>0.253573866</v>
      </c>
      <c r="Y7" s="201">
        <v>90283.0</v>
      </c>
      <c r="Z7" s="123">
        <f t="shared" si="12"/>
        <v>0.1976448903</v>
      </c>
      <c r="AA7" s="202">
        <v>340709.0</v>
      </c>
      <c r="AB7" s="203">
        <f t="shared" si="13"/>
        <v>0.2358859857</v>
      </c>
      <c r="AC7" s="173">
        <v>94068.0</v>
      </c>
      <c r="AD7" s="174">
        <f t="shared" si="14"/>
        <v>0.19124497</v>
      </c>
      <c r="AE7" s="173">
        <v>107988.0</v>
      </c>
      <c r="AF7" s="174">
        <f t="shared" si="15"/>
        <v>0.2056855518</v>
      </c>
      <c r="AG7" s="178">
        <v>202056.0</v>
      </c>
      <c r="AH7" s="174">
        <f t="shared" si="16"/>
        <v>0.1987005439</v>
      </c>
      <c r="AI7" s="178">
        <v>114835.0</v>
      </c>
      <c r="AJ7" s="174">
        <f t="shared" si="17"/>
        <v>0.2054227234</v>
      </c>
      <c r="AK7" s="178">
        <v>316891.0</v>
      </c>
      <c r="AL7" s="174">
        <f t="shared" si="18"/>
        <v>0.2010850908</v>
      </c>
      <c r="AM7" s="177">
        <v>112131.88</v>
      </c>
      <c r="AN7" s="174">
        <f t="shared" si="19"/>
        <v>0.2005872441</v>
      </c>
      <c r="AO7" s="177">
        <f t="shared" si="20"/>
        <v>429022.88</v>
      </c>
      <c r="AP7" s="174">
        <f t="shared" si="21"/>
        <v>0.2722390499</v>
      </c>
    </row>
    <row r="8" ht="12.0" customHeight="1">
      <c r="A8" s="36"/>
      <c r="B8" s="98" t="s">
        <v>212</v>
      </c>
      <c r="C8" s="173">
        <v>92131.0</v>
      </c>
      <c r="D8" s="174">
        <f t="shared" si="1"/>
        <v>0.1360604194</v>
      </c>
      <c r="E8" s="173">
        <v>39214.0</v>
      </c>
      <c r="F8" s="174">
        <f t="shared" si="2"/>
        <v>0.08748165103</v>
      </c>
      <c r="G8" s="173">
        <v>17181.0</v>
      </c>
      <c r="H8" s="174">
        <f t="shared" si="3"/>
        <v>0.07073368547</v>
      </c>
      <c r="I8" s="173">
        <v>56395.0</v>
      </c>
      <c r="J8" s="174">
        <f t="shared" si="4"/>
        <v>0.08159565479</v>
      </c>
      <c r="K8" s="173">
        <v>25566.0</v>
      </c>
      <c r="L8" s="174">
        <f t="shared" si="5"/>
        <v>0.09634204705</v>
      </c>
      <c r="M8" s="173">
        <v>81961.0</v>
      </c>
      <c r="N8" s="174">
        <f t="shared" si="6"/>
        <v>0.08568674538</v>
      </c>
      <c r="O8" s="173">
        <v>32349.0</v>
      </c>
      <c r="P8" s="174">
        <f t="shared" si="7"/>
        <v>0.1091794581</v>
      </c>
      <c r="Q8" s="173">
        <v>30142.0</v>
      </c>
      <c r="R8" s="174">
        <f t="shared" si="8"/>
        <v>0.09559056716</v>
      </c>
      <c r="S8" s="201">
        <v>62491.0</v>
      </c>
      <c r="T8" s="123">
        <f t="shared" si="9"/>
        <v>0.102173586</v>
      </c>
      <c r="U8" s="201">
        <v>45515.0</v>
      </c>
      <c r="V8" s="123">
        <f t="shared" si="10"/>
        <v>0.121060191</v>
      </c>
      <c r="W8" s="201">
        <v>108006.0</v>
      </c>
      <c r="X8" s="123">
        <f t="shared" si="11"/>
        <v>0.1093636402</v>
      </c>
      <c r="Y8" s="201">
        <v>61305.0</v>
      </c>
      <c r="Z8" s="123">
        <f t="shared" si="12"/>
        <v>0.1342071043</v>
      </c>
      <c r="AA8" s="202">
        <v>169311.0</v>
      </c>
      <c r="AB8" s="203">
        <f t="shared" si="13"/>
        <v>0.1172205375</v>
      </c>
      <c r="AC8" s="173">
        <v>67752.9</v>
      </c>
      <c r="AD8" s="174">
        <f t="shared" si="14"/>
        <v>0.1377450496</v>
      </c>
      <c r="AE8" s="173">
        <v>69690.0</v>
      </c>
      <c r="AF8" s="174">
        <f t="shared" si="15"/>
        <v>0.1327390646</v>
      </c>
      <c r="AG8" s="178">
        <v>137443.0</v>
      </c>
      <c r="AH8" s="174">
        <f t="shared" si="16"/>
        <v>0.1351605439</v>
      </c>
      <c r="AI8" s="178">
        <v>77710.0</v>
      </c>
      <c r="AJ8" s="174">
        <f t="shared" si="17"/>
        <v>0.139011624</v>
      </c>
      <c r="AK8" s="178">
        <v>215153.0</v>
      </c>
      <c r="AL8" s="174">
        <f t="shared" si="18"/>
        <v>0.1365266307</v>
      </c>
      <c r="AM8" s="177">
        <v>113348.0</v>
      </c>
      <c r="AN8" s="174">
        <f t="shared" si="19"/>
        <v>0.2027627017</v>
      </c>
      <c r="AO8" s="177">
        <v>328500.0</v>
      </c>
      <c r="AP8" s="174">
        <f t="shared" si="21"/>
        <v>0.2084516516</v>
      </c>
    </row>
    <row r="9" ht="12.0" customHeight="1">
      <c r="A9" s="36"/>
      <c r="B9" s="98" t="s">
        <v>213</v>
      </c>
      <c r="C9" s="173">
        <v>85410.0</v>
      </c>
      <c r="D9" s="174">
        <f t="shared" si="1"/>
        <v>0.1261347475</v>
      </c>
      <c r="E9" s="173">
        <v>63058.0</v>
      </c>
      <c r="F9" s="174">
        <f t="shared" si="2"/>
        <v>0.1406747068</v>
      </c>
      <c r="G9" s="173">
        <v>34012.0</v>
      </c>
      <c r="H9" s="174">
        <f t="shared" si="3"/>
        <v>0.140026431</v>
      </c>
      <c r="I9" s="173">
        <v>97070.0</v>
      </c>
      <c r="J9" s="174">
        <f t="shared" si="4"/>
        <v>0.1404466745</v>
      </c>
      <c r="K9" s="173">
        <v>37693.0</v>
      </c>
      <c r="L9" s="174">
        <f t="shared" si="5"/>
        <v>0.1420410224</v>
      </c>
      <c r="M9" s="173">
        <v>134763.0</v>
      </c>
      <c r="N9" s="174">
        <f t="shared" si="6"/>
        <v>0.1408889944</v>
      </c>
      <c r="O9" s="173">
        <v>41806.0</v>
      </c>
      <c r="P9" s="174">
        <f t="shared" si="7"/>
        <v>0.1410972959</v>
      </c>
      <c r="Q9" s="173">
        <v>45798.0</v>
      </c>
      <c r="R9" s="174">
        <f t="shared" si="8"/>
        <v>0.1452410854</v>
      </c>
      <c r="S9" s="201">
        <v>87604.0</v>
      </c>
      <c r="T9" s="123">
        <f t="shared" si="9"/>
        <v>0.143233663</v>
      </c>
      <c r="U9" s="201">
        <v>51503.0</v>
      </c>
      <c r="V9" s="123">
        <f t="shared" si="10"/>
        <v>0.1369869936</v>
      </c>
      <c r="W9" s="201">
        <v>139107.0</v>
      </c>
      <c r="X9" s="123">
        <f t="shared" si="11"/>
        <v>0.1408555812</v>
      </c>
      <c r="Y9" s="201">
        <v>67268.0</v>
      </c>
      <c r="Z9" s="123">
        <f t="shared" si="12"/>
        <v>0.1472611286</v>
      </c>
      <c r="AA9" s="202">
        <v>206375.0</v>
      </c>
      <c r="AB9" s="203">
        <f t="shared" si="13"/>
        <v>0.1428813747</v>
      </c>
      <c r="AC9" s="173">
        <v>63422.4</v>
      </c>
      <c r="AD9" s="174">
        <f t="shared" si="14"/>
        <v>0.1289409256</v>
      </c>
      <c r="AE9" s="173">
        <v>70568.0</v>
      </c>
      <c r="AF9" s="174">
        <f t="shared" si="15"/>
        <v>0.1344113978</v>
      </c>
      <c r="AG9" s="178">
        <v>133990.0</v>
      </c>
      <c r="AH9" s="174">
        <f t="shared" si="16"/>
        <v>0.1317648864</v>
      </c>
      <c r="AI9" s="178">
        <v>74847.0</v>
      </c>
      <c r="AJ9" s="174">
        <f t="shared" si="17"/>
        <v>0.1338901431</v>
      </c>
      <c r="AK9" s="178">
        <v>208837.0</v>
      </c>
      <c r="AL9" s="174">
        <f t="shared" si="18"/>
        <v>0.1325187749</v>
      </c>
      <c r="AM9" s="177">
        <v>72463.0</v>
      </c>
      <c r="AN9" s="174">
        <f t="shared" si="19"/>
        <v>0.1296255219</v>
      </c>
      <c r="AO9" s="177">
        <v>281300.0</v>
      </c>
      <c r="AP9" s="174">
        <f t="shared" si="21"/>
        <v>0.1785006076</v>
      </c>
    </row>
    <row r="10" ht="12.0" customHeight="1">
      <c r="A10" s="36"/>
      <c r="B10" s="98" t="s">
        <v>214</v>
      </c>
      <c r="C10" s="173">
        <v>65130.0</v>
      </c>
      <c r="D10" s="174">
        <f t="shared" si="1"/>
        <v>0.09618494446</v>
      </c>
      <c r="E10" s="173">
        <v>45351.0</v>
      </c>
      <c r="F10" s="174">
        <f t="shared" si="2"/>
        <v>0.1011725495</v>
      </c>
      <c r="G10" s="173">
        <v>20188.0</v>
      </c>
      <c r="H10" s="174">
        <f t="shared" si="3"/>
        <v>0.08311341844</v>
      </c>
      <c r="I10" s="173">
        <v>65538.0</v>
      </c>
      <c r="J10" s="174">
        <f t="shared" si="4"/>
        <v>0.09482429335</v>
      </c>
      <c r="K10" s="173">
        <v>17508.0</v>
      </c>
      <c r="L10" s="174">
        <f t="shared" si="5"/>
        <v>0.06597655323</v>
      </c>
      <c r="M10" s="173">
        <v>83046.0</v>
      </c>
      <c r="N10" s="174">
        <f t="shared" si="6"/>
        <v>0.08682106681</v>
      </c>
      <c r="O10" s="173">
        <v>15978.0</v>
      </c>
      <c r="P10" s="174">
        <f t="shared" si="7"/>
        <v>0.05392653193</v>
      </c>
      <c r="Q10" s="173">
        <v>18232.0</v>
      </c>
      <c r="R10" s="174">
        <f t="shared" si="8"/>
        <v>0.05781989319</v>
      </c>
      <c r="S10" s="201">
        <v>34210.0</v>
      </c>
      <c r="T10" s="123">
        <f t="shared" si="9"/>
        <v>0.05593378852</v>
      </c>
      <c r="U10" s="201">
        <v>20930.0</v>
      </c>
      <c r="V10" s="123">
        <f t="shared" si="10"/>
        <v>0.05566933532</v>
      </c>
      <c r="W10" s="201">
        <v>55140.0</v>
      </c>
      <c r="X10" s="123">
        <f t="shared" si="11"/>
        <v>0.05583311226</v>
      </c>
      <c r="Y10" s="201">
        <v>34555.0</v>
      </c>
      <c r="Z10" s="123">
        <f t="shared" si="12"/>
        <v>0.07564679046</v>
      </c>
      <c r="AA10" s="202">
        <v>93871.0</v>
      </c>
      <c r="AB10" s="203">
        <f t="shared" si="13"/>
        <v>0.06499051496</v>
      </c>
      <c r="AC10" s="173">
        <v>35429.98</v>
      </c>
      <c r="AD10" s="174">
        <f t="shared" si="14"/>
        <v>0.07203092936</v>
      </c>
      <c r="AE10" s="173">
        <v>31624.0</v>
      </c>
      <c r="AF10" s="174">
        <f t="shared" si="15"/>
        <v>0.06023446949</v>
      </c>
      <c r="AG10" s="178">
        <v>67053.0</v>
      </c>
      <c r="AH10" s="174">
        <f t="shared" si="16"/>
        <v>0.06593948</v>
      </c>
      <c r="AI10" s="178">
        <v>32753.0</v>
      </c>
      <c r="AJ10" s="174">
        <f t="shared" si="17"/>
        <v>0.05859024217</v>
      </c>
      <c r="AK10" s="178">
        <v>99807.0</v>
      </c>
      <c r="AL10" s="174">
        <f t="shared" si="18"/>
        <v>0.06333313239</v>
      </c>
      <c r="AM10" s="177">
        <v>35759.05</v>
      </c>
      <c r="AN10" s="174">
        <f t="shared" si="19"/>
        <v>0.06396761822</v>
      </c>
      <c r="AO10" s="177">
        <f t="shared" ref="AO10:AO12" si="22">AM10+AK10</f>
        <v>135566.05</v>
      </c>
      <c r="AP10" s="174">
        <f t="shared" si="21"/>
        <v>0.08602425273</v>
      </c>
    </row>
    <row r="11" ht="12.0" customHeight="1">
      <c r="A11" s="36"/>
      <c r="B11" s="98" t="s">
        <v>215</v>
      </c>
      <c r="C11" s="173">
        <v>21042.0</v>
      </c>
      <c r="D11" s="174">
        <f t="shared" si="1"/>
        <v>0.0310751359</v>
      </c>
      <c r="E11" s="173">
        <v>22069.0</v>
      </c>
      <c r="F11" s="174">
        <f t="shared" si="2"/>
        <v>0.04923324722</v>
      </c>
      <c r="G11" s="173">
        <v>9557.0</v>
      </c>
      <c r="H11" s="174">
        <f t="shared" si="3"/>
        <v>0.03934589559</v>
      </c>
      <c r="I11" s="173">
        <v>31626.0</v>
      </c>
      <c r="J11" s="174">
        <f t="shared" si="4"/>
        <v>0.045758386</v>
      </c>
      <c r="K11" s="173">
        <v>9697.0</v>
      </c>
      <c r="L11" s="174">
        <f t="shared" si="5"/>
        <v>0.03654184582</v>
      </c>
      <c r="M11" s="173">
        <v>41323.0</v>
      </c>
      <c r="N11" s="174">
        <f t="shared" si="6"/>
        <v>0.0432014419</v>
      </c>
      <c r="O11" s="173">
        <v>12191.0</v>
      </c>
      <c r="P11" s="174">
        <f t="shared" si="7"/>
        <v>0.04114522161</v>
      </c>
      <c r="Q11" s="173">
        <v>11446.0</v>
      </c>
      <c r="R11" s="174">
        <f t="shared" si="8"/>
        <v>0.03629917165</v>
      </c>
      <c r="S11" s="201">
        <v>23638.0</v>
      </c>
      <c r="T11" s="123">
        <f t="shared" si="9"/>
        <v>0.038648433</v>
      </c>
      <c r="U11" s="201">
        <v>16458.0</v>
      </c>
      <c r="V11" s="123">
        <f t="shared" si="10"/>
        <v>0.04377476926</v>
      </c>
      <c r="W11" s="201">
        <v>40096.0</v>
      </c>
      <c r="X11" s="123">
        <f t="shared" si="11"/>
        <v>0.04060000851</v>
      </c>
      <c r="Y11" s="201">
        <v>22176.0</v>
      </c>
      <c r="Z11" s="123">
        <f t="shared" si="12"/>
        <v>0.04854704747</v>
      </c>
      <c r="AA11" s="202">
        <v>64336.0</v>
      </c>
      <c r="AB11" s="203">
        <f t="shared" si="13"/>
        <v>0.04454229496</v>
      </c>
      <c r="AC11" s="173">
        <v>19687.75</v>
      </c>
      <c r="AD11" s="174">
        <f t="shared" si="14"/>
        <v>0.04002618487</v>
      </c>
      <c r="AE11" s="173">
        <v>16965.0</v>
      </c>
      <c r="AF11" s="174">
        <f t="shared" si="15"/>
        <v>0.03231336248</v>
      </c>
      <c r="AG11" s="178">
        <v>36653.0</v>
      </c>
      <c r="AH11" s="174">
        <f t="shared" si="16"/>
        <v>0.03604431958</v>
      </c>
      <c r="AI11" s="178">
        <v>18855.0</v>
      </c>
      <c r="AJ11" s="174">
        <f t="shared" si="17"/>
        <v>0.0337287887</v>
      </c>
      <c r="AK11" s="178">
        <v>55508.0</v>
      </c>
      <c r="AL11" s="174">
        <f t="shared" si="18"/>
        <v>0.03522293539</v>
      </c>
      <c r="AM11" s="177">
        <v>22943.65</v>
      </c>
      <c r="AN11" s="174">
        <f t="shared" si="19"/>
        <v>0.04104277501</v>
      </c>
      <c r="AO11" s="177">
        <f t="shared" si="22"/>
        <v>78451.65</v>
      </c>
      <c r="AP11" s="174">
        <f t="shared" si="21"/>
        <v>0.04978196655</v>
      </c>
    </row>
    <row r="12" ht="12.0" customHeight="1">
      <c r="A12" s="36"/>
      <c r="B12" s="98" t="s">
        <v>216</v>
      </c>
      <c r="C12" s="173">
        <v>0.0</v>
      </c>
      <c r="D12" s="174">
        <f t="shared" si="1"/>
        <v>0</v>
      </c>
      <c r="E12" s="173">
        <v>0.0</v>
      </c>
      <c r="F12" s="174">
        <f t="shared" si="2"/>
        <v>0</v>
      </c>
      <c r="G12" s="173">
        <v>0.0</v>
      </c>
      <c r="H12" s="174">
        <f t="shared" si="3"/>
        <v>0</v>
      </c>
      <c r="I12" s="173">
        <v>0.0</v>
      </c>
      <c r="J12" s="174">
        <f t="shared" si="4"/>
        <v>0</v>
      </c>
      <c r="K12" s="173">
        <v>0.0</v>
      </c>
      <c r="L12" s="174">
        <f t="shared" si="5"/>
        <v>0</v>
      </c>
      <c r="M12" s="173">
        <v>0.0</v>
      </c>
      <c r="N12" s="174">
        <f t="shared" si="6"/>
        <v>0</v>
      </c>
      <c r="O12" s="173">
        <v>0.0</v>
      </c>
      <c r="P12" s="174">
        <f t="shared" si="7"/>
        <v>0</v>
      </c>
      <c r="Q12" s="173">
        <v>4923.0</v>
      </c>
      <c r="R12" s="174">
        <f t="shared" si="8"/>
        <v>0.01561251284</v>
      </c>
      <c r="S12" s="201">
        <v>10155.0</v>
      </c>
      <c r="T12" s="123">
        <f t="shared" si="9"/>
        <v>0.01660355517</v>
      </c>
      <c r="U12" s="201">
        <v>10713.0</v>
      </c>
      <c r="V12" s="123">
        <f t="shared" si="10"/>
        <v>0.02849429476</v>
      </c>
      <c r="W12" s="201">
        <v>20868.0</v>
      </c>
      <c r="X12" s="123">
        <f t="shared" si="11"/>
        <v>0.02113031169</v>
      </c>
      <c r="Y12" s="201">
        <v>16380.0</v>
      </c>
      <c r="Z12" s="123">
        <f t="shared" si="12"/>
        <v>0.03585861461</v>
      </c>
      <c r="AA12" s="202">
        <v>37247.0</v>
      </c>
      <c r="AB12" s="203">
        <f t="shared" si="13"/>
        <v>0.02578753514</v>
      </c>
      <c r="AC12" s="173">
        <v>0.0</v>
      </c>
      <c r="AD12" s="174">
        <f t="shared" si="14"/>
        <v>0</v>
      </c>
      <c r="AE12" s="173">
        <v>17596.0</v>
      </c>
      <c r="AF12" s="174">
        <f t="shared" si="15"/>
        <v>0.0335152329</v>
      </c>
      <c r="AG12" s="178">
        <v>34632.0</v>
      </c>
      <c r="AH12" s="174">
        <f t="shared" si="16"/>
        <v>0.03405688144</v>
      </c>
      <c r="AI12" s="178">
        <v>20229.0</v>
      </c>
      <c r="AJ12" s="174">
        <f t="shared" si="17"/>
        <v>0.0361866702</v>
      </c>
      <c r="AK12" s="178">
        <v>54861.0</v>
      </c>
      <c r="AL12" s="174">
        <f t="shared" si="18"/>
        <v>0.03481237765</v>
      </c>
      <c r="AM12" s="177">
        <v>18386.7</v>
      </c>
      <c r="AN12" s="174">
        <f t="shared" si="19"/>
        <v>0.0328910697</v>
      </c>
      <c r="AO12" s="177">
        <f t="shared" si="22"/>
        <v>73247.7</v>
      </c>
      <c r="AP12" s="174">
        <f t="shared" si="21"/>
        <v>0.04647976877</v>
      </c>
    </row>
    <row r="13" ht="12.0" customHeight="1">
      <c r="A13" s="36"/>
      <c r="B13" s="98" t="s">
        <v>149</v>
      </c>
      <c r="C13" s="173">
        <v>64714.0</v>
      </c>
      <c r="D13" s="174">
        <f t="shared" si="1"/>
        <v>0.09557058953</v>
      </c>
      <c r="E13" s="173">
        <v>24272.0</v>
      </c>
      <c r="F13" s="174">
        <f t="shared" si="2"/>
        <v>0.05414787152</v>
      </c>
      <c r="G13" s="173">
        <v>10052.0</v>
      </c>
      <c r="H13" s="174">
        <f t="shared" si="3"/>
        <v>0.04138379642</v>
      </c>
      <c r="I13" s="173">
        <v>34327.0</v>
      </c>
      <c r="J13" s="174">
        <f t="shared" si="4"/>
        <v>0.04966635414</v>
      </c>
      <c r="K13" s="173">
        <v>12391.0</v>
      </c>
      <c r="L13" s="174">
        <f t="shared" si="5"/>
        <v>0.04669382402</v>
      </c>
      <c r="M13" s="173">
        <v>46719.0</v>
      </c>
      <c r="N13" s="174">
        <f t="shared" si="6"/>
        <v>0.04884273078</v>
      </c>
      <c r="O13" s="173">
        <v>11091.0</v>
      </c>
      <c r="P13" s="174">
        <f t="shared" si="7"/>
        <v>0.03743266777</v>
      </c>
      <c r="Q13" s="173">
        <v>5403.0</v>
      </c>
      <c r="R13" s="174">
        <f t="shared" si="8"/>
        <v>0.01713475663</v>
      </c>
      <c r="S13" s="201">
        <v>11260.0</v>
      </c>
      <c r="T13" s="123">
        <f t="shared" si="9"/>
        <v>0.01841024434</v>
      </c>
      <c r="U13" s="201">
        <v>17609.0</v>
      </c>
      <c r="V13" s="123">
        <f t="shared" si="10"/>
        <v>0.04683618374</v>
      </c>
      <c r="W13" s="201">
        <v>28870.0</v>
      </c>
      <c r="X13" s="123">
        <f t="shared" si="11"/>
        <v>0.02923289719</v>
      </c>
      <c r="Y13" s="201">
        <v>22723.0</v>
      </c>
      <c r="Z13" s="123">
        <f t="shared" si="12"/>
        <v>0.04974452379</v>
      </c>
      <c r="AA13" s="204">
        <v>45354.0</v>
      </c>
      <c r="AB13" s="123">
        <f t="shared" si="13"/>
        <v>0.03140032401</v>
      </c>
      <c r="AC13" s="173">
        <v>57912.33</v>
      </c>
      <c r="AD13" s="174">
        <f t="shared" si="14"/>
        <v>0.1177386764</v>
      </c>
      <c r="AE13" s="173">
        <v>49118.0</v>
      </c>
      <c r="AF13" s="174">
        <f t="shared" si="15"/>
        <v>0.09355542223</v>
      </c>
      <c r="AG13" s="178">
        <v>89996.0</v>
      </c>
      <c r="AH13" s="174">
        <f t="shared" si="16"/>
        <v>0.08850147558</v>
      </c>
      <c r="AI13" s="178">
        <v>58604.0</v>
      </c>
      <c r="AJ13" s="174">
        <f t="shared" si="17"/>
        <v>0.1048338336</v>
      </c>
      <c r="AK13" s="178">
        <v>148598.0</v>
      </c>
      <c r="AL13" s="174">
        <f t="shared" si="18"/>
        <v>0.09429375502</v>
      </c>
      <c r="AM13" s="189">
        <v>63856.0</v>
      </c>
      <c r="AN13" s="174">
        <f t="shared" si="19"/>
        <v>0.1142288799</v>
      </c>
      <c r="AO13" s="189">
        <v>212455.0</v>
      </c>
      <c r="AP13" s="174">
        <f t="shared" si="21"/>
        <v>0.1348145986</v>
      </c>
    </row>
    <row r="14" ht="12.0" customHeight="1">
      <c r="A14" s="36"/>
      <c r="B14" s="181" t="s">
        <v>194</v>
      </c>
      <c r="C14" s="182">
        <v>677133.0</v>
      </c>
      <c r="D14" s="183">
        <f t="shared" si="1"/>
        <v>1</v>
      </c>
      <c r="E14" s="182">
        <v>448254.0</v>
      </c>
      <c r="F14" s="183">
        <f t="shared" si="2"/>
        <v>1</v>
      </c>
      <c r="G14" s="182">
        <f t="shared" ref="G14:L14" si="23">SUM(G6:G13)</f>
        <v>242897</v>
      </c>
      <c r="H14" s="183">
        <f t="shared" si="23"/>
        <v>1</v>
      </c>
      <c r="I14" s="182">
        <f t="shared" si="23"/>
        <v>691152</v>
      </c>
      <c r="J14" s="183">
        <f t="shared" si="23"/>
        <v>1</v>
      </c>
      <c r="K14" s="182">
        <f t="shared" si="23"/>
        <v>265367</v>
      </c>
      <c r="L14" s="183">
        <f t="shared" si="23"/>
        <v>1</v>
      </c>
      <c r="M14" s="182">
        <v>956519.0</v>
      </c>
      <c r="N14" s="183">
        <f t="shared" si="6"/>
        <v>1</v>
      </c>
      <c r="O14" s="182">
        <f t="shared" ref="O14:Q14" si="24">SUM(O6:O13)</f>
        <v>296292</v>
      </c>
      <c r="P14" s="183">
        <f t="shared" si="24"/>
        <v>1</v>
      </c>
      <c r="Q14" s="182">
        <f t="shared" si="24"/>
        <v>315324</v>
      </c>
      <c r="R14" s="183">
        <f t="shared" si="8"/>
        <v>1</v>
      </c>
      <c r="S14" s="205">
        <v>611616.0</v>
      </c>
      <c r="T14" s="206">
        <f t="shared" ref="T14:AP14" si="25">SUM(T6:T13)</f>
        <v>1</v>
      </c>
      <c r="U14" s="205">
        <f t="shared" si="25"/>
        <v>375970</v>
      </c>
      <c r="V14" s="206">
        <f t="shared" si="25"/>
        <v>1</v>
      </c>
      <c r="W14" s="205">
        <f t="shared" si="25"/>
        <v>987586</v>
      </c>
      <c r="X14" s="206">
        <f t="shared" si="25"/>
        <v>1</v>
      </c>
      <c r="Y14" s="205">
        <f t="shared" si="25"/>
        <v>456794</v>
      </c>
      <c r="Z14" s="206">
        <f t="shared" si="25"/>
        <v>1</v>
      </c>
      <c r="AA14" s="207">
        <f t="shared" si="25"/>
        <v>1444380</v>
      </c>
      <c r="AB14" s="206">
        <f t="shared" si="25"/>
        <v>1</v>
      </c>
      <c r="AC14" s="182">
        <f t="shared" si="25"/>
        <v>491871.76</v>
      </c>
      <c r="AD14" s="183">
        <f t="shared" si="25"/>
        <v>1</v>
      </c>
      <c r="AE14" s="182">
        <f t="shared" si="25"/>
        <v>525015</v>
      </c>
      <c r="AF14" s="183">
        <f t="shared" si="25"/>
        <v>1</v>
      </c>
      <c r="AG14" s="182">
        <f t="shared" si="25"/>
        <v>1016887</v>
      </c>
      <c r="AH14" s="183">
        <f t="shared" si="25"/>
        <v>1</v>
      </c>
      <c r="AI14" s="182">
        <f t="shared" si="25"/>
        <v>559018</v>
      </c>
      <c r="AJ14" s="183">
        <f t="shared" si="25"/>
        <v>1</v>
      </c>
      <c r="AK14" s="182">
        <f t="shared" si="25"/>
        <v>1575905</v>
      </c>
      <c r="AL14" s="183">
        <f t="shared" si="25"/>
        <v>1</v>
      </c>
      <c r="AM14" s="182">
        <f t="shared" si="25"/>
        <v>611804.68</v>
      </c>
      <c r="AN14" s="183">
        <f t="shared" si="25"/>
        <v>1.094427514</v>
      </c>
      <c r="AO14" s="182">
        <f t="shared" si="25"/>
        <v>2187709.68</v>
      </c>
      <c r="AP14" s="183">
        <f t="shared" si="25"/>
        <v>1.388224341</v>
      </c>
    </row>
    <row r="15" ht="12.0" customHeight="1">
      <c r="A15" s="36"/>
      <c r="B15" s="36"/>
      <c r="C15" s="4"/>
      <c r="D15" s="169"/>
      <c r="E15" s="4"/>
      <c r="F15" s="169"/>
      <c r="G15" s="4"/>
      <c r="H15" s="169"/>
      <c r="I15" s="4"/>
      <c r="J15" s="169"/>
      <c r="K15" s="4"/>
      <c r="L15" s="169"/>
      <c r="M15" s="4"/>
      <c r="N15" s="169"/>
      <c r="O15" s="4"/>
      <c r="P15" s="169"/>
      <c r="Q15" s="4"/>
      <c r="R15" s="169"/>
      <c r="S15" s="4"/>
      <c r="T15" s="169"/>
      <c r="U15" s="4"/>
      <c r="V15" s="169"/>
      <c r="W15" s="4"/>
      <c r="X15" s="169"/>
      <c r="Y15" s="4"/>
      <c r="Z15" s="169"/>
      <c r="AA15" s="139"/>
      <c r="AB15" s="169"/>
      <c r="AC15" s="4"/>
      <c r="AD15" s="169"/>
      <c r="AE15" s="4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</row>
    <row r="16" ht="12.0" customHeight="1">
      <c r="A16" s="36"/>
      <c r="B16" s="36"/>
      <c r="C16" s="4"/>
      <c r="D16" s="169"/>
      <c r="E16" s="4"/>
      <c r="F16" s="169"/>
      <c r="G16" s="4"/>
      <c r="H16" s="169"/>
      <c r="I16" s="4"/>
      <c r="J16" s="169"/>
      <c r="K16" s="4"/>
      <c r="L16" s="169"/>
      <c r="M16" s="4"/>
      <c r="N16" s="169"/>
      <c r="O16" s="4"/>
      <c r="P16" s="169"/>
      <c r="Q16" s="4"/>
      <c r="R16" s="169"/>
      <c r="S16" s="4"/>
      <c r="T16" s="169"/>
      <c r="U16" s="4"/>
      <c r="V16" s="169"/>
      <c r="W16" s="4"/>
      <c r="X16" s="169"/>
      <c r="Y16" s="4"/>
      <c r="Z16" s="169"/>
      <c r="AA16" s="139"/>
      <c r="AB16" s="199"/>
      <c r="AC16" s="4"/>
      <c r="AD16" s="169"/>
      <c r="AE16" s="4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</row>
    <row r="17" ht="12.0" customHeight="1">
      <c r="A17" s="36"/>
      <c r="B17" s="31" t="s">
        <v>195</v>
      </c>
      <c r="C17" s="4"/>
      <c r="D17" s="169"/>
      <c r="E17" s="4"/>
      <c r="F17" s="169"/>
      <c r="G17" s="4"/>
      <c r="H17" s="169"/>
      <c r="I17" s="4"/>
      <c r="J17" s="169"/>
      <c r="K17" s="4"/>
      <c r="L17" s="169"/>
      <c r="M17" s="4"/>
      <c r="N17" s="169"/>
      <c r="O17" s="4"/>
      <c r="P17" s="169"/>
      <c r="Q17" s="4"/>
      <c r="R17" s="169"/>
      <c r="S17" s="4"/>
      <c r="T17" s="169"/>
      <c r="U17" s="4"/>
      <c r="V17" s="169"/>
      <c r="W17" s="4"/>
      <c r="X17" s="169"/>
      <c r="Y17" s="4"/>
      <c r="Z17" s="169"/>
      <c r="AA17" s="139"/>
      <c r="AB17" s="199"/>
      <c r="AC17" s="4"/>
      <c r="AD17" s="169"/>
      <c r="AE17" s="4"/>
      <c r="AF17" s="169"/>
      <c r="AG17" s="169"/>
      <c r="AH17" s="169"/>
      <c r="AI17" s="169"/>
      <c r="AJ17" s="169"/>
      <c r="AK17" s="169"/>
      <c r="AL17" s="169"/>
      <c r="AM17" s="169"/>
      <c r="AN17" s="208"/>
      <c r="AO17" s="169"/>
      <c r="AP17" s="169"/>
    </row>
    <row r="18" ht="12.0" customHeight="1">
      <c r="A18" s="36"/>
      <c r="B18" s="36"/>
      <c r="C18" s="4"/>
      <c r="D18" s="169"/>
      <c r="E18" s="4"/>
      <c r="F18" s="169"/>
      <c r="G18" s="4"/>
      <c r="H18" s="169"/>
      <c r="I18" s="4"/>
      <c r="J18" s="169"/>
      <c r="K18" s="4"/>
      <c r="L18" s="169"/>
      <c r="M18" s="4"/>
      <c r="N18" s="169"/>
      <c r="O18" s="4"/>
      <c r="P18" s="169"/>
      <c r="Q18" s="4"/>
      <c r="R18" s="169"/>
      <c r="S18" s="4"/>
      <c r="T18" s="169"/>
      <c r="U18" s="4"/>
      <c r="V18" s="169"/>
      <c r="W18" s="4"/>
      <c r="X18" s="169"/>
      <c r="Y18" s="4"/>
      <c r="Z18" s="169"/>
      <c r="AA18" s="139"/>
      <c r="AB18" s="199"/>
      <c r="AC18" s="4"/>
      <c r="AD18" s="169"/>
      <c r="AE18" s="4"/>
      <c r="AF18" s="169"/>
      <c r="AG18" s="169"/>
      <c r="AH18" s="169"/>
      <c r="AI18" s="42"/>
      <c r="AJ18" s="42"/>
      <c r="AK18" s="42"/>
      <c r="AL18" s="42"/>
      <c r="AM18" s="42"/>
      <c r="AN18" s="42"/>
      <c r="AO18" s="42"/>
      <c r="AP18" s="42"/>
    </row>
    <row r="19" ht="12.0" customHeight="1">
      <c r="A19" s="36"/>
      <c r="B19" s="36"/>
      <c r="C19" s="171">
        <v>2019.0</v>
      </c>
      <c r="E19" s="171" t="s">
        <v>57</v>
      </c>
      <c r="G19" s="171" t="s">
        <v>204</v>
      </c>
      <c r="I19" s="171" t="s">
        <v>205</v>
      </c>
      <c r="K19" s="171" t="s">
        <v>206</v>
      </c>
      <c r="M19" s="171">
        <v>2020.0</v>
      </c>
      <c r="O19" s="171" t="s">
        <v>61</v>
      </c>
      <c r="Q19" s="171" t="s">
        <v>62</v>
      </c>
      <c r="S19" s="171" t="s">
        <v>207</v>
      </c>
      <c r="U19" s="171" t="s">
        <v>208</v>
      </c>
      <c r="W19" s="171" t="s">
        <v>209</v>
      </c>
      <c r="Y19" s="171" t="s">
        <v>210</v>
      </c>
      <c r="AA19" s="200">
        <v>2021.0</v>
      </c>
      <c r="AC19" s="171" t="s">
        <v>67</v>
      </c>
      <c r="AE19" s="171" t="s">
        <v>68</v>
      </c>
      <c r="AG19" s="171" t="s">
        <v>69</v>
      </c>
      <c r="AI19" s="171" t="s">
        <v>70</v>
      </c>
      <c r="AK19" s="171" t="s">
        <v>71</v>
      </c>
      <c r="AM19" s="171" t="s">
        <v>72</v>
      </c>
      <c r="AO19" s="171">
        <v>2022.0</v>
      </c>
    </row>
    <row r="20" ht="12.0" customHeight="1">
      <c r="A20" s="36"/>
      <c r="B20" s="184" t="s">
        <v>196</v>
      </c>
      <c r="C20" s="14">
        <v>284321.0</v>
      </c>
      <c r="D20" s="169">
        <f t="shared" ref="D20:D21" si="26">C20/$C$24</f>
        <v>0.4198894456</v>
      </c>
      <c r="E20" s="14">
        <v>212005.0</v>
      </c>
      <c r="F20" s="169">
        <f t="shared" ref="F20:F21" si="27">E20/$E$24</f>
        <v>0.4729572965</v>
      </c>
      <c r="G20" s="14">
        <v>114586.0</v>
      </c>
      <c r="H20" s="169">
        <f t="shared" ref="H20:H21" si="28">G20/$G$24</f>
        <v>0.4717472838</v>
      </c>
      <c r="I20" s="14">
        <v>326591.0</v>
      </c>
      <c r="J20" s="169">
        <f t="shared" ref="J20:J21" si="29">I20/$I$24</f>
        <v>0.4725313679</v>
      </c>
      <c r="K20" s="14">
        <v>125420.0</v>
      </c>
      <c r="L20" s="169">
        <f t="shared" ref="L20:L21" si="30">K20/$K$24</f>
        <v>0.472628473</v>
      </c>
      <c r="M20" s="14">
        <v>451999.0</v>
      </c>
      <c r="N20" s="169">
        <f t="shared" ref="N20:N23" si="31">M20/$M$24</f>
        <v>0.4725457623</v>
      </c>
      <c r="O20" s="14">
        <v>153038.0</v>
      </c>
      <c r="P20" s="169">
        <f t="shared" ref="P20:P23" si="32">O20/$O$24</f>
        <v>0.5165107394</v>
      </c>
      <c r="Q20" s="14">
        <v>152574.0</v>
      </c>
      <c r="R20" s="169">
        <f t="shared" ref="R20:R23" si="33">Q20/$Q$24</f>
        <v>0.4838642159</v>
      </c>
      <c r="S20" s="14">
        <v>301584.0</v>
      </c>
      <c r="T20" s="169">
        <f t="shared" ref="T20:T21" si="34">S20/$S$24</f>
        <v>0.4930937059</v>
      </c>
      <c r="U20" s="14">
        <v>165015.0</v>
      </c>
      <c r="V20" s="169">
        <f t="shared" ref="V20:V21" si="35">U20/$U$24</f>
        <v>0.4389046998</v>
      </c>
      <c r="W20" s="14">
        <v>470563.0</v>
      </c>
      <c r="X20" s="169">
        <f t="shared" ref="X20:X21" si="36">W20/$W$24</f>
        <v>0.4764779979</v>
      </c>
      <c r="Y20" s="14">
        <v>200014.0</v>
      </c>
      <c r="Z20" s="169">
        <f t="shared" ref="Z20:Z21" si="37">Y20/$Y$24</f>
        <v>0.437863812</v>
      </c>
      <c r="AA20" s="14">
        <v>664858.0</v>
      </c>
      <c r="AB20" s="169">
        <f t="shared" ref="AB20:AB23" si="38">AA20/$AA$24</f>
        <v>0.4603068445</v>
      </c>
      <c r="AC20" s="14">
        <v>205985.0</v>
      </c>
      <c r="AD20" s="169">
        <f t="shared" ref="AD20:AD23" si="39">AC20/$AC$24</f>
        <v>0.4187776495</v>
      </c>
      <c r="AE20" s="14">
        <v>219304.0</v>
      </c>
      <c r="AF20" s="169">
        <f t="shared" ref="AF20:AF23" si="40">AE20/$AE$24</f>
        <v>0.4177099702</v>
      </c>
      <c r="AG20" s="14">
        <v>423244.0</v>
      </c>
      <c r="AH20" s="169">
        <f t="shared" ref="AH20:AH23" si="41">AG20/$AG$24</f>
        <v>0.416215371</v>
      </c>
      <c r="AI20" s="14">
        <v>232697.0</v>
      </c>
      <c r="AJ20" s="169">
        <f t="shared" ref="AJ20:AJ23" si="42">AI20/$AI$24</f>
        <v>0.4162602993</v>
      </c>
      <c r="AK20" s="14">
        <v>655941.0</v>
      </c>
      <c r="AL20" s="169">
        <f t="shared" ref="AL20:AL23" si="43">AK20/$AK$24</f>
        <v>0.4162313084</v>
      </c>
      <c r="AM20" s="209">
        <v>267232.80345</v>
      </c>
      <c r="AN20" s="169">
        <f t="shared" ref="AN20:AN23" si="44">AM20/AM$24</f>
        <v>0.4367938283</v>
      </c>
      <c r="AO20" s="177">
        <v>923174.0</v>
      </c>
      <c r="AP20" s="169">
        <f t="shared" ref="AP20:AP23" si="45">AO20/AO$24</f>
        <v>0.4219818897</v>
      </c>
    </row>
    <row r="21" ht="12.0" customHeight="1">
      <c r="A21" s="36"/>
      <c r="B21" s="4" t="s">
        <v>197</v>
      </c>
      <c r="C21" s="14">
        <v>25044.0</v>
      </c>
      <c r="D21" s="169">
        <f t="shared" si="26"/>
        <v>0.03698534852</v>
      </c>
      <c r="E21" s="14">
        <v>10000.0</v>
      </c>
      <c r="F21" s="169">
        <f t="shared" si="27"/>
        <v>0.02230878029</v>
      </c>
      <c r="G21" s="14">
        <v>4575.0</v>
      </c>
      <c r="H21" s="169">
        <f t="shared" si="28"/>
        <v>0.01883514411</v>
      </c>
      <c r="I21" s="14">
        <v>14575.0</v>
      </c>
      <c r="J21" s="169">
        <f t="shared" si="29"/>
        <v>0.02108798065</v>
      </c>
      <c r="K21" s="14">
        <v>5177.0</v>
      </c>
      <c r="L21" s="169">
        <f t="shared" si="30"/>
        <v>0.01950883117</v>
      </c>
      <c r="M21" s="14">
        <v>19764.0</v>
      </c>
      <c r="N21" s="169">
        <f t="shared" si="31"/>
        <v>0.02066242281</v>
      </c>
      <c r="O21" s="14">
        <v>2329.0</v>
      </c>
      <c r="P21" s="169">
        <f t="shared" si="32"/>
        <v>0.007860488977</v>
      </c>
      <c r="Q21" s="14">
        <v>6613.0</v>
      </c>
      <c r="R21" s="169">
        <f t="shared" si="33"/>
        <v>0.02097207951</v>
      </c>
      <c r="S21" s="14">
        <v>11226.0</v>
      </c>
      <c r="T21" s="169">
        <f t="shared" si="34"/>
        <v>0.0183546539</v>
      </c>
      <c r="U21" s="14">
        <v>5868.0</v>
      </c>
      <c r="V21" s="169">
        <f t="shared" si="35"/>
        <v>0.01560762827</v>
      </c>
      <c r="W21" s="14">
        <v>17248.0</v>
      </c>
      <c r="X21" s="169">
        <f t="shared" si="36"/>
        <v>0.01746480813</v>
      </c>
      <c r="Y21" s="14">
        <v>10807.0</v>
      </c>
      <c r="Z21" s="169">
        <f t="shared" si="37"/>
        <v>0.023658315</v>
      </c>
      <c r="AA21" s="210">
        <v>28148.0</v>
      </c>
      <c r="AB21" s="169">
        <f t="shared" si="38"/>
        <v>0.01948794639</v>
      </c>
      <c r="AC21" s="14">
        <v>35544.0</v>
      </c>
      <c r="AD21" s="169">
        <f t="shared" si="39"/>
        <v>0.07226270249</v>
      </c>
      <c r="AE21" s="14">
        <v>48160.0</v>
      </c>
      <c r="AF21" s="169">
        <f t="shared" si="40"/>
        <v>0.09173071246</v>
      </c>
      <c r="AG21" s="14">
        <v>85749.0</v>
      </c>
      <c r="AH21" s="169">
        <f t="shared" si="41"/>
        <v>0.08432500366</v>
      </c>
      <c r="AI21" s="14">
        <v>57061.0</v>
      </c>
      <c r="AJ21" s="169">
        <f t="shared" si="42"/>
        <v>0.1020736363</v>
      </c>
      <c r="AK21" s="14">
        <v>142810.0</v>
      </c>
      <c r="AL21" s="169">
        <f t="shared" si="43"/>
        <v>0.09062094479</v>
      </c>
      <c r="AM21" s="209">
        <v>63181.52979</v>
      </c>
      <c r="AN21" s="169">
        <f t="shared" si="44"/>
        <v>0.1032706386</v>
      </c>
      <c r="AO21" s="177">
        <v>205992.0</v>
      </c>
      <c r="AP21" s="169">
        <f t="shared" si="45"/>
        <v>0.09415873219</v>
      </c>
    </row>
    <row r="22" ht="12.0" customHeight="1">
      <c r="A22" s="36"/>
      <c r="B22" s="98" t="s">
        <v>217</v>
      </c>
      <c r="C22" s="14">
        <v>332662.0</v>
      </c>
      <c r="D22" s="169">
        <v>0.4912801473270392</v>
      </c>
      <c r="E22" s="14">
        <v>201569.0</v>
      </c>
      <c r="F22" s="169">
        <v>0.44967585342238997</v>
      </c>
      <c r="G22" s="14">
        <v>111561.0</v>
      </c>
      <c r="H22" s="169">
        <v>0.4592934453698481</v>
      </c>
      <c r="I22" s="14">
        <v>313130.0</v>
      </c>
      <c r="J22" s="169">
        <v>0.4530551890177559</v>
      </c>
      <c r="K22" s="14">
        <v>122857.0</v>
      </c>
      <c r="L22" s="169">
        <v>0.4629701507723266</v>
      </c>
      <c r="M22" s="14">
        <v>435987.0</v>
      </c>
      <c r="N22" s="169">
        <f t="shared" si="31"/>
        <v>0.4558058962</v>
      </c>
      <c r="O22" s="14">
        <v>129432.0</v>
      </c>
      <c r="P22" s="169">
        <f t="shared" si="32"/>
        <v>0.4368393342</v>
      </c>
      <c r="Q22" s="14">
        <v>146641.0</v>
      </c>
      <c r="R22" s="169">
        <f t="shared" si="33"/>
        <v>0.4650486484</v>
      </c>
      <c r="S22" s="14">
        <v>277818.0</v>
      </c>
      <c r="T22" s="169">
        <v>0.4524570972636425</v>
      </c>
      <c r="U22" s="14">
        <v>192200.0</v>
      </c>
      <c r="V22" s="169">
        <v>0.5112110008777296</v>
      </c>
      <c r="W22" s="14">
        <v>465900.0</v>
      </c>
      <c r="X22" s="169">
        <v>0.47175638374784573</v>
      </c>
      <c r="Y22" s="14">
        <v>229681.0</v>
      </c>
      <c r="Z22" s="169">
        <v>0.502206683975709</v>
      </c>
      <c r="AA22" s="210">
        <v>701206.0</v>
      </c>
      <c r="AB22" s="169">
        <f t="shared" si="38"/>
        <v>0.4854719672</v>
      </c>
      <c r="AC22" s="14">
        <v>234706.0</v>
      </c>
      <c r="AD22" s="169">
        <f t="shared" si="39"/>
        <v>0.4771688569</v>
      </c>
      <c r="AE22" s="14">
        <v>242574.0</v>
      </c>
      <c r="AF22" s="169">
        <f t="shared" si="40"/>
        <v>0.4620325134</v>
      </c>
      <c r="AG22" s="14">
        <v>477280.0</v>
      </c>
      <c r="AH22" s="169">
        <f t="shared" si="41"/>
        <v>0.4693540187</v>
      </c>
      <c r="AI22" s="14">
        <v>247200.0</v>
      </c>
      <c r="AJ22" s="169">
        <f t="shared" si="42"/>
        <v>0.4422040077</v>
      </c>
      <c r="AK22" s="14">
        <v>724480.0</v>
      </c>
      <c r="AL22" s="169">
        <f t="shared" si="43"/>
        <v>0.4597231432</v>
      </c>
      <c r="AM22" s="209">
        <v>251468.60416</v>
      </c>
      <c r="AN22" s="169">
        <f t="shared" si="44"/>
        <v>0.4110271377</v>
      </c>
      <c r="AO22" s="177">
        <v>975948.0</v>
      </c>
      <c r="AP22" s="169">
        <f t="shared" si="45"/>
        <v>0.4461048311</v>
      </c>
    </row>
    <row r="23" ht="12.0" customHeight="1">
      <c r="A23" s="36"/>
      <c r="B23" s="98" t="s">
        <v>218</v>
      </c>
      <c r="C23" s="14">
        <v>35106.0</v>
      </c>
      <c r="D23" s="169">
        <v>0.051845058504016196</v>
      </c>
      <c r="E23" s="14">
        <v>24680.0</v>
      </c>
      <c r="F23" s="169">
        <v>0.05505806975509421</v>
      </c>
      <c r="G23" s="14">
        <v>12175.0</v>
      </c>
      <c r="H23" s="169">
        <v>0.05012412668744365</v>
      </c>
      <c r="I23" s="14">
        <v>36856.0</v>
      </c>
      <c r="J23" s="169">
        <v>0.05332546241637151</v>
      </c>
      <c r="K23" s="14">
        <v>11913.0</v>
      </c>
      <c r="L23" s="169">
        <v>0.044892545041395504</v>
      </c>
      <c r="M23" s="14">
        <v>48769.0</v>
      </c>
      <c r="N23" s="211">
        <f t="shared" si="31"/>
        <v>0.05098591873</v>
      </c>
      <c r="O23" s="14">
        <v>11493.0</v>
      </c>
      <c r="P23" s="169">
        <f t="shared" si="32"/>
        <v>0.03878943745</v>
      </c>
      <c r="Q23" s="14">
        <v>9496.0</v>
      </c>
      <c r="R23" s="169">
        <f t="shared" si="33"/>
        <v>0.03011505626</v>
      </c>
      <c r="S23" s="14">
        <v>20988.0</v>
      </c>
      <c r="T23" s="169">
        <v>0.03431728404750693</v>
      </c>
      <c r="U23" s="14">
        <v>12887.0</v>
      </c>
      <c r="V23" s="169">
        <v>0.034276671010984916</v>
      </c>
      <c r="W23" s="14">
        <v>33875.0</v>
      </c>
      <c r="X23" s="169">
        <v>0.034300810258549634</v>
      </c>
      <c r="Y23" s="14">
        <v>16293.0</v>
      </c>
      <c r="Z23" s="169">
        <v>0.0356681567621291</v>
      </c>
      <c r="AA23" s="14">
        <v>50168.0</v>
      </c>
      <c r="AB23" s="169">
        <f t="shared" si="38"/>
        <v>0.03473324194</v>
      </c>
      <c r="AC23" s="14">
        <v>15637.0</v>
      </c>
      <c r="AD23" s="169">
        <f t="shared" si="39"/>
        <v>0.0317907911</v>
      </c>
      <c r="AE23" s="14">
        <v>14977.0</v>
      </c>
      <c r="AF23" s="169">
        <f t="shared" si="40"/>
        <v>0.028526804</v>
      </c>
      <c r="AG23" s="14">
        <v>30614.0</v>
      </c>
      <c r="AH23" s="169">
        <f t="shared" si="41"/>
        <v>0.03010560662</v>
      </c>
      <c r="AI23" s="14">
        <v>22060.0</v>
      </c>
      <c r="AJ23" s="169">
        <f t="shared" si="42"/>
        <v>0.03946205668</v>
      </c>
      <c r="AK23" s="14">
        <v>52674.0</v>
      </c>
      <c r="AL23" s="169">
        <f t="shared" si="43"/>
        <v>0.03342460364</v>
      </c>
      <c r="AM23" s="212">
        <v>29922.418229999996</v>
      </c>
      <c r="AN23" s="169">
        <f t="shared" si="44"/>
        <v>0.04890839538</v>
      </c>
      <c r="AO23" s="189">
        <v>82596.0</v>
      </c>
      <c r="AP23" s="169">
        <f t="shared" si="45"/>
        <v>0.03775454699</v>
      </c>
    </row>
    <row r="24" ht="12.0" customHeight="1">
      <c r="A24" s="36"/>
      <c r="B24" s="190" t="s">
        <v>194</v>
      </c>
      <c r="C24" s="191">
        <f>SUM(C20:C23)</f>
        <v>677133</v>
      </c>
      <c r="D24" s="192"/>
      <c r="E24" s="191">
        <f>SUM(E20:E23)</f>
        <v>448254</v>
      </c>
      <c r="F24" s="192"/>
      <c r="G24" s="191">
        <f>SUM(G20:G23)</f>
        <v>242897</v>
      </c>
      <c r="H24" s="192"/>
      <c r="I24" s="191">
        <f>SUM(I20:I23)</f>
        <v>691152</v>
      </c>
      <c r="J24" s="192"/>
      <c r="K24" s="191">
        <f>SUM(K20:K23)</f>
        <v>265367</v>
      </c>
      <c r="L24" s="192"/>
      <c r="M24" s="191">
        <f>SUM(M20:M23)</f>
        <v>956519</v>
      </c>
      <c r="N24" s="192"/>
      <c r="O24" s="191">
        <f>SUM(O20:O23)</f>
        <v>296292</v>
      </c>
      <c r="P24" s="192"/>
      <c r="Q24" s="191">
        <f>SUM(Q20:Q23)</f>
        <v>315324</v>
      </c>
      <c r="R24" s="192"/>
      <c r="S24" s="191">
        <f>SUM(S20:S23)</f>
        <v>611616</v>
      </c>
      <c r="T24" s="192"/>
      <c r="U24" s="191">
        <f>SUM(U20:U23)</f>
        <v>375970</v>
      </c>
      <c r="V24" s="192"/>
      <c r="W24" s="191">
        <f>SUM(W20:W23)</f>
        <v>987586</v>
      </c>
      <c r="X24" s="192"/>
      <c r="Y24" s="191">
        <f>SUM(Y20:Y23)</f>
        <v>456795</v>
      </c>
      <c r="Z24" s="192"/>
      <c r="AA24" s="191">
        <f>SUM(AA20:AA23)</f>
        <v>1444380</v>
      </c>
      <c r="AB24" s="192"/>
      <c r="AC24" s="191">
        <f>SUM(AC20:AC23)</f>
        <v>491872</v>
      </c>
      <c r="AD24" s="192"/>
      <c r="AE24" s="191">
        <f>SUM(AE20:AE23)</f>
        <v>525015</v>
      </c>
      <c r="AF24" s="192"/>
      <c r="AG24" s="191">
        <f>SUM(AG20:AG23)</f>
        <v>1016887</v>
      </c>
      <c r="AH24" s="192"/>
      <c r="AI24" s="191">
        <f>SUM(AI20:AI23)</f>
        <v>559018</v>
      </c>
      <c r="AJ24" s="192"/>
      <c r="AK24" s="213">
        <f>SUM(AK20:AK23)</f>
        <v>1575905</v>
      </c>
      <c r="AL24" s="192"/>
      <c r="AM24" s="191">
        <f>SUM(AM20:AM23)</f>
        <v>611805.3556</v>
      </c>
      <c r="AN24" s="192"/>
      <c r="AO24" s="213">
        <f>SUM(AO20:AO23)</f>
        <v>2187710</v>
      </c>
      <c r="AP24" s="192"/>
    </row>
    <row r="25" ht="12.0" customHeight="1">
      <c r="A25" s="36"/>
      <c r="B25" s="3"/>
      <c r="C25" s="4"/>
      <c r="D25" s="169"/>
      <c r="E25" s="4"/>
      <c r="F25" s="169"/>
      <c r="G25" s="4"/>
      <c r="H25" s="169"/>
      <c r="I25" s="4"/>
      <c r="J25" s="169"/>
      <c r="K25" s="4"/>
      <c r="L25" s="169"/>
      <c r="M25" s="4"/>
      <c r="N25" s="169"/>
      <c r="O25" s="4"/>
      <c r="P25" s="169"/>
      <c r="Q25" s="4"/>
      <c r="R25" s="169"/>
      <c r="S25" s="4"/>
      <c r="T25" s="169"/>
      <c r="U25" s="4"/>
      <c r="V25" s="169"/>
      <c r="W25" s="4"/>
      <c r="X25" s="169"/>
      <c r="Y25" s="4"/>
      <c r="Z25" s="169"/>
      <c r="AA25" s="139"/>
      <c r="AB25" s="199"/>
      <c r="AC25" s="4"/>
      <c r="AD25" s="169"/>
      <c r="AE25" s="4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</row>
    <row r="26" ht="12.0" customHeight="1">
      <c r="A26" s="36"/>
      <c r="B26" s="31" t="s">
        <v>200</v>
      </c>
      <c r="C26" s="4"/>
      <c r="D26" s="169"/>
      <c r="E26" s="4"/>
      <c r="F26" s="169"/>
      <c r="G26" s="4"/>
      <c r="H26" s="169"/>
      <c r="I26" s="4"/>
      <c r="J26" s="169"/>
      <c r="K26" s="4"/>
      <c r="L26" s="169"/>
      <c r="M26" s="4"/>
      <c r="N26" s="169"/>
      <c r="O26" s="4"/>
      <c r="P26" s="169"/>
      <c r="Q26" s="4"/>
      <c r="R26" s="169"/>
      <c r="S26" s="4"/>
      <c r="T26" s="169"/>
      <c r="U26" s="4"/>
      <c r="V26" s="169"/>
      <c r="W26" s="4"/>
      <c r="X26" s="169"/>
      <c r="Y26" s="4"/>
      <c r="Z26" s="169"/>
      <c r="AA26" s="139"/>
      <c r="AB26" s="199"/>
      <c r="AC26" s="4"/>
      <c r="AD26" s="169"/>
      <c r="AE26" s="4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</row>
    <row r="27" ht="12.0" customHeight="1">
      <c r="A27" s="36"/>
      <c r="B27" s="31"/>
      <c r="C27" s="4"/>
      <c r="D27" s="169"/>
      <c r="E27" s="4"/>
      <c r="F27" s="169"/>
      <c r="G27" s="4"/>
      <c r="H27" s="169"/>
      <c r="I27" s="4"/>
      <c r="J27" s="169"/>
      <c r="K27" s="4"/>
      <c r="L27" s="169"/>
      <c r="M27" s="4"/>
      <c r="N27" s="169"/>
      <c r="O27" s="4"/>
      <c r="P27" s="169"/>
      <c r="Q27" s="4"/>
      <c r="R27" s="169"/>
      <c r="S27" s="4"/>
      <c r="T27" s="169"/>
      <c r="U27" s="4"/>
      <c r="V27" s="169"/>
      <c r="W27" s="4"/>
      <c r="X27" s="169"/>
      <c r="Y27" s="4"/>
      <c r="Z27" s="169"/>
      <c r="AA27" s="139"/>
      <c r="AB27" s="199"/>
      <c r="AC27" s="4"/>
      <c r="AD27" s="169"/>
      <c r="AE27" s="4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</row>
    <row r="28" ht="12.0" customHeight="1">
      <c r="A28" s="36"/>
      <c r="B28" s="98"/>
      <c r="C28" s="171">
        <v>2019.0</v>
      </c>
      <c r="E28" s="171" t="s">
        <v>57</v>
      </c>
      <c r="G28" s="171" t="s">
        <v>58</v>
      </c>
      <c r="I28" s="171" t="s">
        <v>59</v>
      </c>
      <c r="K28" s="171" t="s">
        <v>206</v>
      </c>
      <c r="M28" s="171">
        <v>2020.0</v>
      </c>
      <c r="O28" s="171" t="s">
        <v>61</v>
      </c>
      <c r="Q28" s="171" t="s">
        <v>62</v>
      </c>
      <c r="S28" s="171" t="s">
        <v>207</v>
      </c>
      <c r="U28" s="171" t="s">
        <v>64</v>
      </c>
      <c r="W28" s="171" t="s">
        <v>65</v>
      </c>
      <c r="Y28" s="171" t="s">
        <v>210</v>
      </c>
      <c r="AA28" s="200">
        <v>2021.0</v>
      </c>
      <c r="AC28" s="171" t="s">
        <v>67</v>
      </c>
      <c r="AE28" s="171" t="s">
        <v>68</v>
      </c>
      <c r="AG28" s="171" t="s">
        <v>69</v>
      </c>
      <c r="AI28" s="171" t="s">
        <v>70</v>
      </c>
      <c r="AK28" s="171" t="s">
        <v>71</v>
      </c>
      <c r="AM28" s="171" t="s">
        <v>72</v>
      </c>
      <c r="AO28" s="171">
        <v>2022.0</v>
      </c>
    </row>
    <row r="29" ht="12.0" customHeight="1">
      <c r="A29" s="36"/>
      <c r="B29" s="98" t="s">
        <v>201</v>
      </c>
      <c r="C29" s="214">
        <v>97248.0</v>
      </c>
      <c r="D29" s="194">
        <f>C29/C24</f>
        <v>0.1436172805</v>
      </c>
      <c r="E29" s="214">
        <v>79754.0</v>
      </c>
      <c r="F29" s="194">
        <f>E29/E24</f>
        <v>0.1779214463</v>
      </c>
      <c r="G29" s="214">
        <v>54321.0</v>
      </c>
      <c r="H29" s="194">
        <f>G29/G24</f>
        <v>0.2236380029</v>
      </c>
      <c r="I29" s="214">
        <v>134075.0</v>
      </c>
      <c r="J29" s="194">
        <f>I29/I24</f>
        <v>0.1939877191</v>
      </c>
      <c r="K29" s="214">
        <v>56524.0</v>
      </c>
      <c r="L29" s="194">
        <f>K29/K24</f>
        <v>0.213003124</v>
      </c>
      <c r="M29" s="193">
        <v>190599.0</v>
      </c>
      <c r="N29" s="194">
        <f>M29/M24</f>
        <v>0.1992631615</v>
      </c>
      <c r="O29" s="193">
        <v>71037.0</v>
      </c>
      <c r="P29" s="194">
        <f t="shared" ref="P29:P30" si="46">O29/$O$24</f>
        <v>0.2397533514</v>
      </c>
      <c r="Q29" s="193">
        <v>75030.0</v>
      </c>
      <c r="R29" s="194">
        <v>0.238</v>
      </c>
      <c r="S29" s="193">
        <v>146067.0</v>
      </c>
      <c r="T29" s="194">
        <f>S29/S24</f>
        <v>0.2388214174</v>
      </c>
      <c r="U29" s="214">
        <v>65074.0</v>
      </c>
      <c r="V29" s="194">
        <f t="shared" ref="V29:V30" si="47">U29/$U$24</f>
        <v>0.1730829587</v>
      </c>
      <c r="W29" s="214">
        <v>211141.0</v>
      </c>
      <c r="X29" s="194">
        <f t="shared" ref="X29:X30" si="48">W29/$W$24</f>
        <v>0.2137950518</v>
      </c>
      <c r="Y29" s="215">
        <v>72170.0</v>
      </c>
      <c r="Z29" s="194">
        <f>Y29/Y24</f>
        <v>0.1579920971</v>
      </c>
      <c r="AA29" s="215">
        <v>283311.0</v>
      </c>
      <c r="AB29" s="194">
        <f>AA29/AA24</f>
        <v>0.1961471358</v>
      </c>
      <c r="AC29" s="193">
        <v>75831.0</v>
      </c>
      <c r="AD29" s="194">
        <f t="shared" ref="AD29:AD30" si="49">AC29/$AC$24</f>
        <v>0.1541681576</v>
      </c>
      <c r="AE29" s="193">
        <v>86777.0</v>
      </c>
      <c r="AF29" s="194">
        <v>0.165</v>
      </c>
      <c r="AG29" s="216">
        <v>162608.0</v>
      </c>
      <c r="AH29" s="194">
        <v>0.16</v>
      </c>
      <c r="AI29" s="216">
        <v>86748.0</v>
      </c>
      <c r="AJ29" s="194">
        <f t="shared" ref="AJ29:AJ30" si="50">AI29/$AI$24</f>
        <v>0.1551792608</v>
      </c>
      <c r="AK29" s="216">
        <v>249356.0</v>
      </c>
      <c r="AL29" s="194">
        <f t="shared" ref="AL29:AL30" si="51">AK29/$AK$24</f>
        <v>0.1582303502</v>
      </c>
      <c r="AM29" s="216">
        <v>75923.0</v>
      </c>
      <c r="AN29" s="194">
        <f t="shared" ref="AN29:AN30" si="52">AM29/$AM$24</f>
        <v>0.124096658</v>
      </c>
      <c r="AO29" s="216">
        <v>325505.0</v>
      </c>
      <c r="AP29" s="194">
        <f t="shared" ref="AP29:AP30" si="53">AO29/$AO$24</f>
        <v>0.1487880021</v>
      </c>
    </row>
    <row r="30" ht="12.0" customHeight="1">
      <c r="A30" s="36"/>
      <c r="B30" s="98" t="s">
        <v>202</v>
      </c>
      <c r="C30" s="214">
        <v>417547.0</v>
      </c>
      <c r="D30" s="194">
        <f>C30/C24</f>
        <v>0.6166395671</v>
      </c>
      <c r="E30" s="214">
        <v>286352.0</v>
      </c>
      <c r="F30" s="194">
        <f>E30/E24</f>
        <v>0.6388163854</v>
      </c>
      <c r="G30" s="214">
        <v>172625.0</v>
      </c>
      <c r="H30" s="194">
        <f>G30/G24</f>
        <v>0.7106921864</v>
      </c>
      <c r="I30" s="214">
        <v>454798.0</v>
      </c>
      <c r="J30" s="194">
        <f>I30/I24</f>
        <v>0.658028914</v>
      </c>
      <c r="K30" s="214">
        <v>190466.0</v>
      </c>
      <c r="L30" s="194">
        <f>K30/K24</f>
        <v>0.7177456127</v>
      </c>
      <c r="M30" s="193">
        <v>644722.0</v>
      </c>
      <c r="N30" s="194">
        <f>M30/M24</f>
        <v>0.6740294756</v>
      </c>
      <c r="O30" s="193">
        <v>217264.0</v>
      </c>
      <c r="P30" s="194">
        <f t="shared" si="46"/>
        <v>0.7332766325</v>
      </c>
      <c r="Q30" s="193">
        <v>231165.0</v>
      </c>
      <c r="R30" s="194">
        <v>0.733</v>
      </c>
      <c r="S30" s="193">
        <v>447098.0</v>
      </c>
      <c r="T30" s="194">
        <f>S30/S24</f>
        <v>0.7310109611</v>
      </c>
      <c r="U30" s="214">
        <v>226866.0</v>
      </c>
      <c r="V30" s="194">
        <f t="shared" si="47"/>
        <v>0.6034151661</v>
      </c>
      <c r="W30" s="214">
        <v>675295.0</v>
      </c>
      <c r="X30" s="194">
        <f t="shared" si="48"/>
        <v>0.6837834882</v>
      </c>
      <c r="Y30" s="214">
        <v>246493.0</v>
      </c>
      <c r="Z30" s="194">
        <f>Y30/Y24</f>
        <v>0.5396140501</v>
      </c>
      <c r="AA30" s="215">
        <v>913890.0</v>
      </c>
      <c r="AB30" s="194">
        <f>AA30/AA24</f>
        <v>0.632721306</v>
      </c>
      <c r="AC30" s="193">
        <v>253427.0</v>
      </c>
      <c r="AD30" s="194">
        <f t="shared" si="49"/>
        <v>0.5152295719</v>
      </c>
      <c r="AE30" s="193">
        <v>275596.0</v>
      </c>
      <c r="AF30" s="194">
        <v>0.525</v>
      </c>
      <c r="AG30" s="216">
        <v>528927.0</v>
      </c>
      <c r="AH30" s="194">
        <v>0.52</v>
      </c>
      <c r="AI30" s="216">
        <v>283999.0</v>
      </c>
      <c r="AJ30" s="194">
        <f t="shared" si="50"/>
        <v>0.5080319417</v>
      </c>
      <c r="AK30" s="216">
        <v>812754.0</v>
      </c>
      <c r="AL30" s="194">
        <f t="shared" si="51"/>
        <v>0.5157379411</v>
      </c>
      <c r="AM30" s="216">
        <v>273122.0</v>
      </c>
      <c r="AN30" s="194">
        <f t="shared" si="52"/>
        <v>0.44641976</v>
      </c>
      <c r="AO30" s="216">
        <v>1079941.0</v>
      </c>
      <c r="AP30" s="194">
        <f t="shared" si="53"/>
        <v>0.4936399249</v>
      </c>
    </row>
  </sheetData>
  <mergeCells count="60">
    <mergeCell ref="AE28:AF28"/>
    <mergeCell ref="AG28:AH28"/>
    <mergeCell ref="Q28:R28"/>
    <mergeCell ref="S28:T28"/>
    <mergeCell ref="U28:V28"/>
    <mergeCell ref="W28:X28"/>
    <mergeCell ref="Y28:Z28"/>
    <mergeCell ref="AA28:AB28"/>
    <mergeCell ref="AC28:AD28"/>
    <mergeCell ref="AE5:AF5"/>
    <mergeCell ref="AG5:AH5"/>
    <mergeCell ref="AI5:AJ5"/>
    <mergeCell ref="AK5:AL5"/>
    <mergeCell ref="AM5:AN5"/>
    <mergeCell ref="AO5:AP5"/>
    <mergeCell ref="Q5:R5"/>
    <mergeCell ref="S5:T5"/>
    <mergeCell ref="U5:V5"/>
    <mergeCell ref="W5:X5"/>
    <mergeCell ref="Y5:Z5"/>
    <mergeCell ref="AA5:AB5"/>
    <mergeCell ref="AC5:AD5"/>
    <mergeCell ref="C5:D5"/>
    <mergeCell ref="E5:F5"/>
    <mergeCell ref="G5:H5"/>
    <mergeCell ref="I5:J5"/>
    <mergeCell ref="K5:L5"/>
    <mergeCell ref="M5:N5"/>
    <mergeCell ref="O5:P5"/>
    <mergeCell ref="AE19:AF19"/>
    <mergeCell ref="AG19:AH19"/>
    <mergeCell ref="AI19:AJ19"/>
    <mergeCell ref="AK19:AL19"/>
    <mergeCell ref="AM19:AN19"/>
    <mergeCell ref="AO19:AP19"/>
    <mergeCell ref="Q19:R19"/>
    <mergeCell ref="S19:T19"/>
    <mergeCell ref="U19:V19"/>
    <mergeCell ref="W19:X19"/>
    <mergeCell ref="Y19:Z19"/>
    <mergeCell ref="AA19:AB19"/>
    <mergeCell ref="AC19:AD19"/>
    <mergeCell ref="C19:D19"/>
    <mergeCell ref="E19:F19"/>
    <mergeCell ref="G19:H19"/>
    <mergeCell ref="I19:J19"/>
    <mergeCell ref="K19:L19"/>
    <mergeCell ref="M19:N19"/>
    <mergeCell ref="O19:P19"/>
    <mergeCell ref="AI28:AJ28"/>
    <mergeCell ref="AK28:AL28"/>
    <mergeCell ref="AM28:AN28"/>
    <mergeCell ref="AO28:AP28"/>
    <mergeCell ref="C28:D28"/>
    <mergeCell ref="E28:F28"/>
    <mergeCell ref="G28:H28"/>
    <mergeCell ref="I28:J28"/>
    <mergeCell ref="K28:L28"/>
    <mergeCell ref="M28:N28"/>
    <mergeCell ref="O28:P28"/>
  </mergeCells>
  <conditionalFormatting sqref="A1:AP1">
    <cfRule type="notContainsBlanks" dxfId="0" priority="1">
      <formula>LEN(TRIM(A1))&gt;0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